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s76\Dropbox\PublicStuff\BM 418 Public\Learning Tools\"/>
    </mc:Choice>
  </mc:AlternateContent>
  <bookViews>
    <workbookView xWindow="-120" yWindow="-120" windowWidth="38640" windowHeight="23640" activeTab="2"/>
  </bookViews>
  <sheets>
    <sheet name="Introduction" sheetId="3" r:id="rId1"/>
    <sheet name="AIME PIA and Family Max" sheetId="5" r:id="rId2"/>
    <sheet name="Breakeven Years" sheetId="4" r:id="rId3"/>
    <sheet name="Data" sheetId="2" r:id="rId4"/>
  </sheets>
  <definedNames>
    <definedName name="Ages">Data!$N$52:$N$90</definedName>
    <definedName name="BendPoints">'AIME PIA and Family Max'!$R$7:$W$15</definedName>
    <definedName name="BirthYear">'AIME PIA and Family Max'!$Z$3:$AB$78</definedName>
    <definedName name="Chart1">Data!$O$52:$O$90</definedName>
    <definedName name="Chart2">Data!$P$52:$P$90</definedName>
    <definedName name="ChartNum">Data!$S$7:$T$15</definedName>
    <definedName name="Data">Data!$B$51:$K$90</definedName>
    <definedName name="Diff">Data!$Q$52:$Q$90</definedName>
    <definedName name="FRAage">Data!$L$2:$N$10</definedName>
    <definedName name="MatchLoc">Data!$N$52:$Q$90</definedName>
    <definedName name="_xlnm.Print_Area" localSheetId="1">'AIME PIA and Family Max'!$B$1:$M$36</definedName>
    <definedName name="SSA">Data!$M$52:$Q$90</definedName>
    <definedName name="Years">Data!$P$11:$Q$41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2" l="1"/>
  <c r="N9" i="2"/>
  <c r="T36" i="5" l="1"/>
  <c r="T33" i="5"/>
  <c r="T30" i="5"/>
  <c r="S30" i="5"/>
  <c r="D20" i="5" l="1"/>
  <c r="P9" i="4" l="1"/>
  <c r="R9" i="4" s="1"/>
  <c r="P10" i="4"/>
  <c r="R10" i="4" s="1"/>
  <c r="P8" i="4"/>
  <c r="R8" i="4" s="1"/>
  <c r="P7" i="4"/>
  <c r="R7" i="4" s="1"/>
  <c r="P6" i="4"/>
  <c r="R6" i="4" s="1"/>
  <c r="P14" i="4"/>
  <c r="R14" i="4" s="1"/>
  <c r="P13" i="4"/>
  <c r="R13" i="4" s="1"/>
  <c r="P12" i="4"/>
  <c r="R12" i="4" s="1"/>
  <c r="P11" i="4"/>
  <c r="R11" i="4" s="1"/>
  <c r="K9" i="2" l="1"/>
  <c r="J9" i="2"/>
  <c r="I9" i="2"/>
  <c r="K8" i="4"/>
  <c r="I7" i="2"/>
  <c r="K7" i="4"/>
  <c r="F9" i="2"/>
  <c r="G9" i="2"/>
  <c r="O11" i="4" l="1"/>
  <c r="O10" i="4" s="1"/>
  <c r="O13" i="4"/>
  <c r="O8" i="4"/>
  <c r="O9" i="4"/>
  <c r="O12" i="4"/>
  <c r="O14" i="4"/>
  <c r="I5" i="2"/>
  <c r="D5" i="2"/>
  <c r="O6" i="4" l="1"/>
  <c r="O7" i="4"/>
  <c r="H16" i="2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D12" i="2"/>
  <c r="M3" i="2" s="1"/>
  <c r="K19" i="2"/>
  <c r="M10" i="2" s="1"/>
  <c r="G15" i="2"/>
  <c r="M6" i="2" s="1"/>
  <c r="C11" i="2"/>
  <c r="J18" i="2"/>
  <c r="M9" i="2" s="1"/>
  <c r="F14" i="2"/>
  <c r="M5" i="2" s="1"/>
  <c r="I17" i="2"/>
  <c r="M8" i="2" s="1"/>
  <c r="E13" i="2"/>
  <c r="M4" i="2" s="1"/>
  <c r="D7" i="2"/>
  <c r="N7" i="2"/>
  <c r="M7" i="2"/>
  <c r="M2" i="2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G16" i="2" l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K20" i="2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N8" i="2"/>
  <c r="N5" i="2"/>
  <c r="N2" i="2"/>
  <c r="N6" i="2"/>
  <c r="K11" i="4"/>
  <c r="N3" i="2"/>
  <c r="N4" i="2"/>
  <c r="J19" i="2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F15" i="2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I18" i="2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D13" i="2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E14" i="2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J9" i="5"/>
  <c r="K10" i="4" l="1"/>
  <c r="I10" i="5"/>
  <c r="E31" i="5"/>
  <c r="E30" i="5"/>
  <c r="E29" i="5"/>
  <c r="E17" i="5"/>
  <c r="F16" i="5"/>
  <c r="E16" i="5"/>
  <c r="G11" i="5" l="1"/>
  <c r="D25" i="5" l="1"/>
  <c r="D4" i="5"/>
  <c r="G10" i="5" l="1"/>
  <c r="J17" i="5" s="1"/>
  <c r="F18" i="5"/>
  <c r="G16" i="5"/>
  <c r="J15" i="5" l="1"/>
  <c r="J12" i="5"/>
  <c r="J14" i="5"/>
  <c r="J16" i="5"/>
  <c r="J19" i="5"/>
  <c r="J13" i="5"/>
  <c r="J18" i="5"/>
  <c r="J20" i="5"/>
  <c r="F17" i="5"/>
  <c r="K51" i="2"/>
  <c r="J51" i="2"/>
  <c r="I51" i="2"/>
  <c r="H51" i="2"/>
  <c r="G51" i="2"/>
  <c r="F51" i="2"/>
  <c r="E51" i="2"/>
  <c r="D51" i="2"/>
  <c r="C51" i="2"/>
  <c r="G18" i="5" l="1"/>
  <c r="G17" i="5"/>
  <c r="G20" i="5" l="1"/>
  <c r="D6" i="2"/>
  <c r="C56" i="2" l="1"/>
  <c r="C60" i="2"/>
  <c r="C64" i="2"/>
  <c r="C68" i="2"/>
  <c r="C72" i="2"/>
  <c r="C76" i="2"/>
  <c r="C80" i="2"/>
  <c r="C84" i="2"/>
  <c r="C88" i="2"/>
  <c r="C52" i="2"/>
  <c r="C57" i="2"/>
  <c r="C61" i="2"/>
  <c r="C65" i="2"/>
  <c r="C69" i="2"/>
  <c r="C73" i="2"/>
  <c r="C77" i="2"/>
  <c r="C81" i="2"/>
  <c r="C85" i="2"/>
  <c r="C89" i="2"/>
  <c r="C54" i="2"/>
  <c r="C58" i="2"/>
  <c r="C62" i="2"/>
  <c r="C66" i="2"/>
  <c r="C70" i="2"/>
  <c r="C74" i="2"/>
  <c r="C78" i="2"/>
  <c r="C82" i="2"/>
  <c r="C86" i="2"/>
  <c r="C90" i="2"/>
  <c r="C55" i="2"/>
  <c r="C59" i="2"/>
  <c r="C63" i="2"/>
  <c r="C67" i="2"/>
  <c r="C71" i="2"/>
  <c r="C75" i="2"/>
  <c r="C79" i="2"/>
  <c r="C83" i="2"/>
  <c r="C87" i="2"/>
  <c r="C53" i="2"/>
  <c r="G27" i="5"/>
  <c r="K32" i="5"/>
  <c r="K17" i="5"/>
  <c r="K15" i="5" s="1"/>
  <c r="P51" i="2"/>
  <c r="O51" i="2"/>
  <c r="T5" i="2"/>
  <c r="T4" i="2"/>
  <c r="A11" i="2"/>
  <c r="B11" i="2"/>
  <c r="N52" i="2" l="1"/>
  <c r="L52" i="2" s="1"/>
  <c r="B52" i="2"/>
  <c r="K20" i="5"/>
  <c r="K12" i="5"/>
  <c r="K16" i="5"/>
  <c r="E32" i="5"/>
  <c r="F32" i="5" s="1"/>
  <c r="G32" i="5" s="1"/>
  <c r="F30" i="5"/>
  <c r="G30" i="5" s="1"/>
  <c r="F29" i="5"/>
  <c r="G29" i="5" s="1"/>
  <c r="F31" i="5"/>
  <c r="G31" i="5" s="1"/>
  <c r="K18" i="5"/>
  <c r="K13" i="5"/>
  <c r="K19" i="5"/>
  <c r="K14" i="5"/>
  <c r="B12" i="2"/>
  <c r="B53" i="2" s="1"/>
  <c r="C8" i="2"/>
  <c r="G34" i="5" l="1"/>
  <c r="N53" i="2"/>
  <c r="L53" i="2" s="1"/>
  <c r="B13" i="2"/>
  <c r="B54" i="2" s="1"/>
  <c r="K33" i="5" l="1"/>
  <c r="K34" i="5" s="1"/>
  <c r="B14" i="2"/>
  <c r="B55" i="2" s="1"/>
  <c r="N54" i="2"/>
  <c r="L54" i="2" s="1"/>
  <c r="B15" i="2" l="1"/>
  <c r="B56" i="2" s="1"/>
  <c r="N55" i="2"/>
  <c r="L55" i="2" s="1"/>
  <c r="B16" i="2" l="1"/>
  <c r="B57" i="2" s="1"/>
  <c r="N56" i="2"/>
  <c r="L56" i="2" s="1"/>
  <c r="A12" i="2"/>
  <c r="B17" i="2" l="1"/>
  <c r="B58" i="2" s="1"/>
  <c r="N57" i="2"/>
  <c r="L57" i="2" s="1"/>
  <c r="A13" i="2"/>
  <c r="B18" i="2" l="1"/>
  <c r="B59" i="2" s="1"/>
  <c r="N58" i="2"/>
  <c r="L58" i="2" s="1"/>
  <c r="A14" i="2"/>
  <c r="B19" i="2" l="1"/>
  <c r="B60" i="2" s="1"/>
  <c r="N59" i="2"/>
  <c r="L59" i="2" s="1"/>
  <c r="A15" i="2"/>
  <c r="B20" i="2" l="1"/>
  <c r="B61" i="2" s="1"/>
  <c r="N60" i="2"/>
  <c r="L60" i="2" s="1"/>
  <c r="A16" i="2"/>
  <c r="B21" i="2" l="1"/>
  <c r="B62" i="2" s="1"/>
  <c r="N61" i="2"/>
  <c r="L61" i="2" s="1"/>
  <c r="A17" i="2"/>
  <c r="B22" i="2" l="1"/>
  <c r="B63" i="2" s="1"/>
  <c r="N62" i="2"/>
  <c r="L62" i="2" s="1"/>
  <c r="A18" i="2"/>
  <c r="B23" i="2" l="1"/>
  <c r="B64" i="2" s="1"/>
  <c r="N63" i="2"/>
  <c r="L63" i="2" s="1"/>
  <c r="A19" i="2"/>
  <c r="B24" i="2" l="1"/>
  <c r="B65" i="2" s="1"/>
  <c r="N64" i="2"/>
  <c r="L64" i="2" s="1"/>
  <c r="A20" i="2"/>
  <c r="B25" i="2" l="1"/>
  <c r="B66" i="2" s="1"/>
  <c r="N65" i="2"/>
  <c r="L65" i="2" s="1"/>
  <c r="A21" i="2"/>
  <c r="B26" i="2" l="1"/>
  <c r="B67" i="2" s="1"/>
  <c r="N66" i="2"/>
  <c r="L66" i="2" s="1"/>
  <c r="A22" i="2"/>
  <c r="B27" i="2" l="1"/>
  <c r="B68" i="2" s="1"/>
  <c r="N67" i="2"/>
  <c r="L67" i="2" s="1"/>
  <c r="A23" i="2"/>
  <c r="B28" i="2" l="1"/>
  <c r="B69" i="2" s="1"/>
  <c r="N68" i="2"/>
  <c r="L68" i="2" s="1"/>
  <c r="A24" i="2"/>
  <c r="B29" i="2" l="1"/>
  <c r="B70" i="2" s="1"/>
  <c r="N69" i="2"/>
  <c r="L69" i="2" s="1"/>
  <c r="A25" i="2"/>
  <c r="B30" i="2" l="1"/>
  <c r="B71" i="2" s="1"/>
  <c r="N70" i="2"/>
  <c r="L70" i="2" s="1"/>
  <c r="A26" i="2"/>
  <c r="B31" i="2" l="1"/>
  <c r="B72" i="2" s="1"/>
  <c r="N71" i="2"/>
  <c r="L71" i="2" s="1"/>
  <c r="A27" i="2"/>
  <c r="B32" i="2" l="1"/>
  <c r="B73" i="2" s="1"/>
  <c r="N72" i="2"/>
  <c r="L72" i="2" s="1"/>
  <c r="A28" i="2"/>
  <c r="B33" i="2" l="1"/>
  <c r="B74" i="2" s="1"/>
  <c r="N73" i="2"/>
  <c r="L73" i="2" s="1"/>
  <c r="A29" i="2"/>
  <c r="B34" i="2" l="1"/>
  <c r="B75" i="2" s="1"/>
  <c r="N74" i="2"/>
  <c r="L74" i="2" s="1"/>
  <c r="A30" i="2"/>
  <c r="B35" i="2" l="1"/>
  <c r="B76" i="2" s="1"/>
  <c r="N75" i="2"/>
  <c r="L75" i="2" s="1"/>
  <c r="A31" i="2"/>
  <c r="B36" i="2" l="1"/>
  <c r="B77" i="2" s="1"/>
  <c r="N76" i="2"/>
  <c r="L76" i="2" s="1"/>
  <c r="A32" i="2"/>
  <c r="B37" i="2" l="1"/>
  <c r="B78" i="2" s="1"/>
  <c r="N77" i="2"/>
  <c r="L77" i="2" s="1"/>
  <c r="A33" i="2"/>
  <c r="B38" i="2" l="1"/>
  <c r="B79" i="2" s="1"/>
  <c r="N78" i="2"/>
  <c r="L78" i="2" s="1"/>
  <c r="A34" i="2"/>
  <c r="B39" i="2" l="1"/>
  <c r="B80" i="2" s="1"/>
  <c r="N79" i="2"/>
  <c r="L79" i="2" s="1"/>
  <c r="A35" i="2"/>
  <c r="B40" i="2" l="1"/>
  <c r="B81" i="2" s="1"/>
  <c r="N80" i="2"/>
  <c r="L80" i="2" s="1"/>
  <c r="A36" i="2"/>
  <c r="B41" i="2" l="1"/>
  <c r="B82" i="2" s="1"/>
  <c r="N81" i="2"/>
  <c r="L81" i="2" s="1"/>
  <c r="A37" i="2"/>
  <c r="B42" i="2" l="1"/>
  <c r="B83" i="2" s="1"/>
  <c r="N82" i="2"/>
  <c r="L82" i="2" s="1"/>
  <c r="A38" i="2"/>
  <c r="B43" i="2" l="1"/>
  <c r="B84" i="2" s="1"/>
  <c r="N83" i="2"/>
  <c r="L83" i="2" s="1"/>
  <c r="A39" i="2"/>
  <c r="B44" i="2" l="1"/>
  <c r="B85" i="2" s="1"/>
  <c r="N84" i="2"/>
  <c r="L84" i="2" s="1"/>
  <c r="A40" i="2"/>
  <c r="B45" i="2" l="1"/>
  <c r="B86" i="2" s="1"/>
  <c r="N85" i="2"/>
  <c r="L85" i="2" s="1"/>
  <c r="A41" i="2"/>
  <c r="B46" i="2" l="1"/>
  <c r="B87" i="2" s="1"/>
  <c r="N86" i="2"/>
  <c r="L86" i="2" s="1"/>
  <c r="A42" i="2"/>
  <c r="N87" i="2" l="1"/>
  <c r="L87" i="2" s="1"/>
  <c r="B47" i="2"/>
  <c r="B88" i="2" s="1"/>
  <c r="A43" i="2"/>
  <c r="A44" i="2"/>
  <c r="B48" i="2" l="1"/>
  <c r="B89" i="2" s="1"/>
  <c r="N88" i="2"/>
  <c r="L88" i="2" s="1"/>
  <c r="A45" i="2"/>
  <c r="N89" i="2" l="1"/>
  <c r="L89" i="2" s="1"/>
  <c r="B49" i="2"/>
  <c r="A46" i="2"/>
  <c r="N90" i="2" l="1"/>
  <c r="L90" i="2" s="1"/>
  <c r="B90" i="2"/>
  <c r="A47" i="2"/>
  <c r="A48" i="2" l="1"/>
  <c r="A49" i="2" l="1"/>
  <c r="D90" i="2" l="1"/>
  <c r="D78" i="2"/>
  <c r="D72" i="2"/>
  <c r="D75" i="2"/>
  <c r="D67" i="2"/>
  <c r="D59" i="2"/>
  <c r="D87" i="2"/>
  <c r="D83" i="2"/>
  <c r="D70" i="2"/>
  <c r="D58" i="2"/>
  <c r="D76" i="2"/>
  <c r="D60" i="2"/>
  <c r="D69" i="2"/>
  <c r="D57" i="2"/>
  <c r="D85" i="2"/>
  <c r="D79" i="2"/>
  <c r="D54" i="2"/>
  <c r="D77" i="2"/>
  <c r="D55" i="2"/>
  <c r="D89" i="2"/>
  <c r="D84" i="2"/>
  <c r="D88" i="2"/>
  <c r="D56" i="2"/>
  <c r="D73" i="2"/>
  <c r="D63" i="2"/>
  <c r="D53" i="2"/>
  <c r="D81" i="2"/>
  <c r="D64" i="2"/>
  <c r="D82" i="2"/>
  <c r="D66" i="2"/>
  <c r="D71" i="2"/>
  <c r="D61" i="2"/>
  <c r="D86" i="2"/>
  <c r="D80" i="2"/>
  <c r="D62" i="2"/>
  <c r="D74" i="2"/>
  <c r="D65" i="2"/>
  <c r="D68" i="2"/>
  <c r="D52" i="2"/>
  <c r="E52" i="2"/>
  <c r="F52" i="2"/>
  <c r="G52" i="2"/>
  <c r="H52" i="2"/>
  <c r="I52" i="2"/>
  <c r="J52" i="2"/>
  <c r="K52" i="2"/>
  <c r="O52" i="2" l="1"/>
  <c r="K85" i="2"/>
  <c r="K77" i="2"/>
  <c r="K61" i="2"/>
  <c r="K69" i="2"/>
  <c r="K73" i="2"/>
  <c r="K71" i="2"/>
  <c r="K79" i="2"/>
  <c r="K66" i="2"/>
  <c r="K70" i="2"/>
  <c r="K72" i="2"/>
  <c r="K89" i="2"/>
  <c r="K63" i="2"/>
  <c r="K82" i="2"/>
  <c r="K65" i="2"/>
  <c r="K54" i="2"/>
  <c r="K57" i="2"/>
  <c r="K55" i="2"/>
  <c r="K68" i="2"/>
  <c r="K64" i="2"/>
  <c r="K67" i="2"/>
  <c r="K59" i="2"/>
  <c r="P52" i="2" s="1"/>
  <c r="K74" i="2"/>
  <c r="K80" i="2"/>
  <c r="K86" i="2"/>
  <c r="K87" i="2"/>
  <c r="K76" i="2"/>
  <c r="K78" i="2"/>
  <c r="K58" i="2"/>
  <c r="K60" i="2"/>
  <c r="K75" i="2"/>
  <c r="K56" i="2"/>
  <c r="K81" i="2"/>
  <c r="K88" i="2"/>
  <c r="K83" i="2"/>
  <c r="K84" i="2"/>
  <c r="K62" i="2"/>
  <c r="K90" i="2"/>
  <c r="K53" i="2"/>
  <c r="Q52" i="2" l="1"/>
  <c r="J64" i="2"/>
  <c r="J88" i="2"/>
  <c r="J73" i="2"/>
  <c r="J82" i="2"/>
  <c r="J90" i="2"/>
  <c r="J83" i="2"/>
  <c r="J76" i="2"/>
  <c r="J65" i="2"/>
  <c r="J77" i="2"/>
  <c r="J61" i="2"/>
  <c r="J58" i="2"/>
  <c r="J71" i="2"/>
  <c r="J67" i="2"/>
  <c r="J84" i="2"/>
  <c r="J54" i="2"/>
  <c r="J81" i="2"/>
  <c r="J79" i="2"/>
  <c r="J66" i="2"/>
  <c r="J63" i="2"/>
  <c r="J72" i="2"/>
  <c r="J78" i="2"/>
  <c r="J70" i="2"/>
  <c r="J74" i="2"/>
  <c r="J80" i="2"/>
  <c r="J60" i="2"/>
  <c r="J75" i="2"/>
  <c r="J89" i="2"/>
  <c r="J57" i="2"/>
  <c r="J85" i="2"/>
  <c r="J55" i="2"/>
  <c r="J68" i="2"/>
  <c r="J59" i="2"/>
  <c r="J87" i="2"/>
  <c r="J69" i="2"/>
  <c r="J56" i="2"/>
  <c r="J62" i="2"/>
  <c r="J86" i="2"/>
  <c r="J53" i="2"/>
  <c r="I78" i="2"/>
  <c r="I71" i="2"/>
  <c r="I67" i="2"/>
  <c r="I85" i="2"/>
  <c r="I58" i="2"/>
  <c r="I74" i="2"/>
  <c r="I89" i="2"/>
  <c r="I54" i="2"/>
  <c r="I87" i="2"/>
  <c r="I83" i="2"/>
  <c r="I66" i="2"/>
  <c r="I88" i="2"/>
  <c r="I72" i="2"/>
  <c r="I55" i="2"/>
  <c r="I69" i="2"/>
  <c r="I64" i="2"/>
  <c r="I63" i="2"/>
  <c r="I75" i="2"/>
  <c r="I90" i="2"/>
  <c r="I82" i="2"/>
  <c r="I59" i="2"/>
  <c r="I65" i="2"/>
  <c r="I56" i="2"/>
  <c r="I61" i="2"/>
  <c r="I77" i="2"/>
  <c r="I79" i="2"/>
  <c r="I62" i="2"/>
  <c r="I68" i="2"/>
  <c r="I70" i="2"/>
  <c r="I57" i="2"/>
  <c r="I86" i="2"/>
  <c r="I60" i="2"/>
  <c r="I73" i="2"/>
  <c r="I81" i="2"/>
  <c r="I84" i="2"/>
  <c r="I76" i="2"/>
  <c r="I80" i="2"/>
  <c r="I53" i="2"/>
  <c r="H66" i="2"/>
  <c r="H90" i="2"/>
  <c r="H78" i="2"/>
  <c r="H65" i="2"/>
  <c r="H58" i="2"/>
  <c r="H64" i="2"/>
  <c r="H61" i="2"/>
  <c r="H79" i="2"/>
  <c r="H54" i="2"/>
  <c r="H60" i="2"/>
  <c r="H80" i="2"/>
  <c r="H74" i="2"/>
  <c r="H68" i="2"/>
  <c r="H57" i="2"/>
  <c r="H82" i="2"/>
  <c r="H89" i="2"/>
  <c r="H77" i="2"/>
  <c r="H55" i="2"/>
  <c r="H69" i="2"/>
  <c r="H67" i="2"/>
  <c r="H83" i="2"/>
  <c r="H59" i="2"/>
  <c r="H86" i="2"/>
  <c r="H85" i="2"/>
  <c r="H76" i="2"/>
  <c r="H56" i="2"/>
  <c r="H73" i="2"/>
  <c r="H87" i="2"/>
  <c r="H81" i="2"/>
  <c r="H63" i="2"/>
  <c r="H84" i="2"/>
  <c r="H62" i="2"/>
  <c r="H75" i="2"/>
  <c r="H88" i="2"/>
  <c r="H71" i="2"/>
  <c r="H72" i="2"/>
  <c r="H70" i="2"/>
  <c r="H53" i="2"/>
  <c r="G63" i="2"/>
  <c r="G64" i="2"/>
  <c r="G68" i="2"/>
  <c r="G88" i="2"/>
  <c r="G71" i="2"/>
  <c r="G84" i="2"/>
  <c r="G54" i="2"/>
  <c r="G66" i="2"/>
  <c r="G69" i="2"/>
  <c r="G59" i="2"/>
  <c r="G82" i="2"/>
  <c r="G72" i="2"/>
  <c r="G87" i="2"/>
  <c r="G75" i="2"/>
  <c r="G83" i="2"/>
  <c r="G74" i="2"/>
  <c r="G76" i="2"/>
  <c r="G85" i="2"/>
  <c r="G65" i="2"/>
  <c r="G70" i="2"/>
  <c r="G58" i="2"/>
  <c r="G57" i="2"/>
  <c r="G81" i="2"/>
  <c r="G62" i="2"/>
  <c r="G73" i="2"/>
  <c r="G79" i="2"/>
  <c r="G90" i="2"/>
  <c r="G55" i="2"/>
  <c r="G78" i="2"/>
  <c r="G56" i="2"/>
  <c r="G61" i="2"/>
  <c r="G86" i="2"/>
  <c r="G67" i="2"/>
  <c r="G80" i="2"/>
  <c r="G77" i="2"/>
  <c r="G89" i="2"/>
  <c r="G60" i="2"/>
  <c r="G53" i="2"/>
  <c r="F82" i="2"/>
  <c r="F57" i="2"/>
  <c r="F80" i="2"/>
  <c r="F56" i="2"/>
  <c r="F76" i="2"/>
  <c r="F81" i="2"/>
  <c r="F67" i="2"/>
  <c r="F66" i="2"/>
  <c r="F60" i="2"/>
  <c r="F74" i="2"/>
  <c r="F62" i="2"/>
  <c r="F77" i="2"/>
  <c r="F78" i="2"/>
  <c r="F58" i="2"/>
  <c r="F88" i="2"/>
  <c r="F84" i="2"/>
  <c r="F85" i="2"/>
  <c r="F65" i="2"/>
  <c r="F73" i="2"/>
  <c r="F75" i="2"/>
  <c r="F79" i="2"/>
  <c r="F61" i="2"/>
  <c r="F69" i="2"/>
  <c r="F55" i="2"/>
  <c r="F63" i="2"/>
  <c r="F68" i="2"/>
  <c r="F86" i="2"/>
  <c r="F71" i="2"/>
  <c r="F70" i="2"/>
  <c r="F54" i="2"/>
  <c r="F83" i="2"/>
  <c r="F59" i="2"/>
  <c r="F90" i="2"/>
  <c r="F72" i="2"/>
  <c r="F87" i="2"/>
  <c r="F64" i="2"/>
  <c r="F89" i="2"/>
  <c r="F53" i="2"/>
  <c r="E72" i="2"/>
  <c r="P72" i="2" s="1"/>
  <c r="E60" i="2"/>
  <c r="E64" i="2"/>
  <c r="E70" i="2"/>
  <c r="E66" i="2"/>
  <c r="P66" i="2" s="1"/>
  <c r="E57" i="2"/>
  <c r="E67" i="2"/>
  <c r="E88" i="2"/>
  <c r="E74" i="2"/>
  <c r="P74" i="2" s="1"/>
  <c r="E54" i="2"/>
  <c r="E79" i="2"/>
  <c r="P79" i="2" s="1"/>
  <c r="E87" i="2"/>
  <c r="E68" i="2"/>
  <c r="P68" i="2" s="1"/>
  <c r="E77" i="2"/>
  <c r="E65" i="2"/>
  <c r="P65" i="2" s="1"/>
  <c r="E75" i="2"/>
  <c r="E62" i="2"/>
  <c r="P62" i="2" s="1"/>
  <c r="E55" i="2"/>
  <c r="E63" i="2"/>
  <c r="E86" i="2"/>
  <c r="E81" i="2"/>
  <c r="P81" i="2" s="1"/>
  <c r="E78" i="2"/>
  <c r="E71" i="2"/>
  <c r="E58" i="2"/>
  <c r="E76" i="2"/>
  <c r="P76" i="2" s="1"/>
  <c r="E80" i="2"/>
  <c r="E69" i="2"/>
  <c r="E61" i="2"/>
  <c r="E84" i="2"/>
  <c r="P84" i="2" s="1"/>
  <c r="E59" i="2"/>
  <c r="E73" i="2"/>
  <c r="E85" i="2"/>
  <c r="E56" i="2"/>
  <c r="P56" i="2" s="1"/>
  <c r="E83" i="2"/>
  <c r="E82" i="2"/>
  <c r="E90" i="2"/>
  <c r="E89" i="2"/>
  <c r="P89" i="2" s="1"/>
  <c r="E53" i="2"/>
  <c r="P59" i="2" l="1"/>
  <c r="P55" i="2"/>
  <c r="P77" i="2"/>
  <c r="O63" i="2"/>
  <c r="O54" i="2"/>
  <c r="O58" i="2"/>
  <c r="O68" i="2"/>
  <c r="Q68" i="2" s="1"/>
  <c r="O76" i="2"/>
  <c r="Q76" i="2" s="1"/>
  <c r="O73" i="2"/>
  <c r="P58" i="2"/>
  <c r="O53" i="2"/>
  <c r="O69" i="2"/>
  <c r="O55" i="2"/>
  <c r="Q55" i="2" s="1"/>
  <c r="O75" i="2"/>
  <c r="O70" i="2"/>
  <c r="O66" i="2"/>
  <c r="Q66" i="2" s="1"/>
  <c r="O84" i="2"/>
  <c r="Q84" i="2" s="1"/>
  <c r="O61" i="2"/>
  <c r="O83" i="2"/>
  <c r="O88" i="2"/>
  <c r="O89" i="2"/>
  <c r="Q89" i="2" s="1"/>
  <c r="P63" i="2"/>
  <c r="O86" i="2"/>
  <c r="O87" i="2"/>
  <c r="O85" i="2"/>
  <c r="O60" i="2"/>
  <c r="O78" i="2"/>
  <c r="O79" i="2"/>
  <c r="Q79" i="2" s="1"/>
  <c r="O67" i="2"/>
  <c r="O77" i="2"/>
  <c r="O90" i="2"/>
  <c r="O64" i="2"/>
  <c r="O56" i="2"/>
  <c r="Q56" i="2" s="1"/>
  <c r="O74" i="2"/>
  <c r="Q74" i="2" s="1"/>
  <c r="O62" i="2"/>
  <c r="Q62" i="2" s="1"/>
  <c r="O59" i="2"/>
  <c r="Q59" i="2" s="1"/>
  <c r="O57" i="2"/>
  <c r="O80" i="2"/>
  <c r="O72" i="2"/>
  <c r="Q72" i="2" s="1"/>
  <c r="O81" i="2"/>
  <c r="Q81" i="2" s="1"/>
  <c r="O71" i="2"/>
  <c r="O65" i="2"/>
  <c r="Q65" i="2" s="1"/>
  <c r="O82" i="2"/>
  <c r="P61" i="2"/>
  <c r="P82" i="2"/>
  <c r="P90" i="2"/>
  <c r="P85" i="2"/>
  <c r="P70" i="2"/>
  <c r="P53" i="2"/>
  <c r="P83" i="2"/>
  <c r="P80" i="2"/>
  <c r="P78" i="2"/>
  <c r="P54" i="2"/>
  <c r="P57" i="2"/>
  <c r="P60" i="2"/>
  <c r="P86" i="2"/>
  <c r="P75" i="2"/>
  <c r="P87" i="2"/>
  <c r="P88" i="2"/>
  <c r="P73" i="2"/>
  <c r="P69" i="2"/>
  <c r="P71" i="2"/>
  <c r="P67" i="2"/>
  <c r="P64" i="2"/>
  <c r="Q77" i="2" l="1"/>
  <c r="Q64" i="2"/>
  <c r="R65" i="2" s="1"/>
  <c r="Q73" i="2"/>
  <c r="R74" i="2" s="1"/>
  <c r="Q87" i="2"/>
  <c r="Q69" i="2"/>
  <c r="R69" i="2" s="1"/>
  <c r="Q53" i="2"/>
  <c r="Q60" i="2"/>
  <c r="R60" i="2" s="1"/>
  <c r="Q61" i="2"/>
  <c r="R62" i="2" s="1"/>
  <c r="Q58" i="2"/>
  <c r="R59" i="2" s="1"/>
  <c r="Q57" i="2"/>
  <c r="R57" i="2" s="1"/>
  <c r="Q54" i="2"/>
  <c r="R55" i="2" s="1"/>
  <c r="Q63" i="2"/>
  <c r="R63" i="2" s="1"/>
  <c r="Q88" i="2"/>
  <c r="R89" i="2" s="1"/>
  <c r="Q75" i="2"/>
  <c r="R75" i="2" s="1"/>
  <c r="Q83" i="2"/>
  <c r="R84" i="2" s="1"/>
  <c r="Q86" i="2"/>
  <c r="Q78" i="2"/>
  <c r="R78" i="2" s="1"/>
  <c r="Q71" i="2"/>
  <c r="R72" i="2" s="1"/>
  <c r="Q67" i="2"/>
  <c r="R67" i="2" s="1"/>
  <c r="Q85" i="2"/>
  <c r="R85" i="2" s="1"/>
  <c r="Q70" i="2"/>
  <c r="Q80" i="2"/>
  <c r="R81" i="2" s="1"/>
  <c r="Q82" i="2"/>
  <c r="R56" i="2"/>
  <c r="Q90" i="2"/>
  <c r="R90" i="2" s="1"/>
  <c r="R66" i="2"/>
  <c r="R77" i="2"/>
  <c r="R73" i="2" l="1"/>
  <c r="R54" i="2"/>
  <c r="R88" i="2"/>
  <c r="R70" i="2"/>
  <c r="R87" i="2"/>
  <c r="R79" i="2"/>
  <c r="R68" i="2"/>
  <c r="R58" i="2"/>
  <c r="R83" i="2"/>
  <c r="R76" i="2"/>
  <c r="R86" i="2"/>
  <c r="R71" i="2"/>
  <c r="R80" i="2"/>
  <c r="R64" i="2"/>
  <c r="R61" i="2"/>
  <c r="R82" i="2"/>
  <c r="R52" i="2" l="1"/>
  <c r="K12" i="4" s="1"/>
  <c r="B39" i="4" l="1"/>
</calcChain>
</file>

<file path=xl/sharedStrings.xml><?xml version="1.0" encoding="utf-8"?>
<sst xmlns="http://schemas.openxmlformats.org/spreadsheetml/2006/main" count="180" uniqueCount="138">
  <si>
    <t>Interest Rate</t>
  </si>
  <si>
    <t>FRA</t>
  </si>
  <si>
    <t>FRA+1</t>
  </si>
  <si>
    <t>FRA+2</t>
  </si>
  <si>
    <t>FRA+3</t>
  </si>
  <si>
    <t>Social Security Decision Spreadsheet</t>
  </si>
  <si>
    <t>Years</t>
  </si>
  <si>
    <t>Start Year</t>
  </si>
  <si>
    <t>When Should You Take Social Security?</t>
  </si>
  <si>
    <t>FRA-5</t>
  </si>
  <si>
    <t>FRA-3</t>
  </si>
  <si>
    <t>FRA-2</t>
  </si>
  <si>
    <t>Age at Retirement</t>
  </si>
  <si>
    <t>FRA-1</t>
  </si>
  <si>
    <t>FRA-4</t>
  </si>
  <si>
    <t>Full Retirement Age</t>
  </si>
  <si>
    <t>ChartNum</t>
  </si>
  <si>
    <t>Chart 1</t>
  </si>
  <si>
    <t>Chart 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</si>
  <si>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</si>
  <si>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</si>
  <si>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</si>
  <si>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</si>
  <si>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</si>
  <si>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</si>
  <si>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</si>
  <si>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</si>
  <si>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</si>
  <si>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Title:</t>
  </si>
  <si>
    <t>Min</t>
  </si>
  <si>
    <t>Note:  This does not take into account taxes on benefits</t>
  </si>
  <si>
    <t>Graph Inputs:</t>
  </si>
  <si>
    <t>Personal Finance: Another Perspective</t>
  </si>
  <si>
    <t>Purpose:</t>
  </si>
  <si>
    <t>Disclosure:</t>
  </si>
  <si>
    <t>Difference</t>
  </si>
  <si>
    <t>Amounts</t>
  </si>
  <si>
    <t>PIA Benefit Formula Bend Points</t>
  </si>
  <si>
    <t xml:space="preserve">      $ in PIA Formula</t>
  </si>
  <si>
    <t xml:space="preserve">         $ in Max Family Benefits</t>
  </si>
  <si>
    <t>Year</t>
  </si>
  <si>
    <t>First</t>
  </si>
  <si>
    <t>Second</t>
  </si>
  <si>
    <t>Third</t>
  </si>
  <si>
    <t>Source: http://www.socialsecurity.gov/OACT/COLA/bendpoints.html</t>
  </si>
  <si>
    <t>Maximum Family Benefit</t>
  </si>
  <si>
    <t>* Average Indexed Monthly Earnings</t>
  </si>
  <si>
    <t>Teaching Tool 36 - Social Security</t>
  </si>
  <si>
    <t>Tax Year</t>
  </si>
  <si>
    <t>Primary Insurance Amount (PIA)</t>
  </si>
  <si>
    <t>and Family Maximum from your PIA</t>
  </si>
  <si>
    <t>Sudweeks 2018</t>
  </si>
  <si>
    <t>Birth Year:</t>
  </si>
  <si>
    <t>FRA - 5</t>
  </si>
  <si>
    <t>FRA - 4</t>
  </si>
  <si>
    <t>FRA - 3</t>
  </si>
  <si>
    <t>FRA - 2</t>
  </si>
  <si>
    <t>FRA + 1</t>
  </si>
  <si>
    <t>FRA + 2</t>
  </si>
  <si>
    <t>FRA + 3</t>
  </si>
  <si>
    <t>Additional %</t>
  </si>
  <si>
    <t>FRA - 1</t>
  </si>
  <si>
    <t>Birth</t>
  </si>
  <si>
    <t>Benefit</t>
  </si>
  <si>
    <t>66 + 2 mo.</t>
  </si>
  <si>
    <t>66 + 6 mo.</t>
  </si>
  <si>
    <t>66 + 4 mo.</t>
  </si>
  <si>
    <t>66 + 8 mo.</t>
  </si>
  <si>
    <t>66 + 10 mo.</t>
  </si>
  <si>
    <t>65 + 2 mo.</t>
  </si>
  <si>
    <t>65 + 4 mo.</t>
  </si>
  <si>
    <t>65 + 6 mo.</t>
  </si>
  <si>
    <t>65 + 8 mo.</t>
  </si>
  <si>
    <t>65 + 10 mo.</t>
  </si>
  <si>
    <t>1937 and Earlier</t>
  </si>
  <si>
    <t>Survivor Benefits:</t>
  </si>
  <si>
    <t>The purpose of this spreadsheet is to give some input into the Soocial Security decision.  This includes</t>
  </si>
  <si>
    <t>1.  How do you calculate your Primary Insurance Amount from your AIME.</t>
  </si>
  <si>
    <t>3.  How to calculate your Family Maximum amount from your PIA</t>
  </si>
  <si>
    <t>4.  Give you a "very" rough idea of when to take your Social Security.</t>
  </si>
  <si>
    <t>2.  Determine how much you would receive depending on your PIA and when you start taking Social Security</t>
  </si>
  <si>
    <t>Regarding the final question, your options are to take Social Security up to 5 years before Full Retirement Age</t>
  </si>
  <si>
    <t>(FRA), or up to 3 years after.  Each of those options has a cost attached, i.e., if you take Social Security</t>
  </si>
  <si>
    <t>at 5 years prior to FRA, your amount will be 70% of your Primary Insurance Amount (PIA).  If you take it 3</t>
  </si>
  <si>
    <t>3 years after FRA, your amount will be 124% of your PIA.</t>
  </si>
  <si>
    <t>The purpose of this spreadsheet and this class is to help you get your financial house in order and to help you</t>
  </si>
  <si>
    <t xml:space="preserve">on your road to financial self-reliance.  If there are mistakes in this  spreadsheet, please bring them to our </t>
  </si>
  <si>
    <t>attention and we will correct them in upcoming versions.  The teacher, and BYU, specifically disclaim any</t>
  </si>
  <si>
    <t>liability or responsibility for claims, loss, or risk incurred, directly or indirectly, from using this material.</t>
  </si>
  <si>
    <t>Calculating PIA and Payments from your AIME (LT36)</t>
  </si>
  <si>
    <t>Monthly</t>
  </si>
  <si>
    <t>Payments</t>
  </si>
  <si>
    <t>Weights:</t>
  </si>
  <si>
    <t>Average Indexed Monthly Earnings (AIME)</t>
  </si>
  <si>
    <t>SS Limits</t>
  </si>
  <si>
    <t>Spouse</t>
  </si>
  <si>
    <t>Yes</t>
  </si>
  <si>
    <t>No</t>
  </si>
  <si>
    <t>This Tool is to calculate your Primary Insurance Amount (PIA) from your Average Indexed Monthly Earnings (AIME) and then</t>
  </si>
  <si>
    <t>Calculations:</t>
  </si>
  <si>
    <t>Spouse's Benefit (75% PIA):</t>
  </si>
  <si>
    <t>Other Children's Benefit (max):</t>
  </si>
  <si>
    <t>- Children: 75% of PIA, subj. to max</t>
  </si>
  <si>
    <t>Age Begin</t>
  </si>
  <si>
    <t>SS Benefits</t>
  </si>
  <si>
    <t xml:space="preserve">Period: </t>
  </si>
  <si>
    <t>Calculating Family Maximum from your PIA - Survivor Benefits</t>
  </si>
  <si>
    <t>Child #1 Benefit (75% PIA)</t>
  </si>
  <si>
    <t>calculate what you will receive depending on when you begin benefits.  It also calculates your family maximum from your PIA</t>
  </si>
  <si>
    <t>Increase Per Year Beyond FRA</t>
  </si>
  <si>
    <t>COLA</t>
  </si>
  <si>
    <t>Primary Insurance Amount</t>
  </si>
  <si>
    <t>Chosen Periods:</t>
  </si>
  <si>
    <t>Birth Year</t>
  </si>
  <si>
    <t>Additional % beyond FRA</t>
  </si>
  <si>
    <t>Age</t>
  </si>
  <si>
    <t>Breakeven Age</t>
  </si>
  <si>
    <t>Chart #1 (Blue)</t>
  </si>
  <si>
    <t>Chart #2 (Orange)</t>
  </si>
  <si>
    <t>Amount</t>
  </si>
  <si>
    <t>Period</t>
  </si>
  <si>
    <t>Note:  Data was checked with the Schwab Social Security Calculator using data from</t>
  </si>
  <si>
    <t>When Do You Take Benefits?</t>
  </si>
  <si>
    <t>Full Retirement Age (FRA)</t>
  </si>
  <si>
    <t>- Spouse: 75% of PIA with kids &lt; 18</t>
  </si>
  <si>
    <t>Retirement Age:</t>
  </si>
  <si>
    <t>Social Security Benefits (LT36.2)</t>
  </si>
  <si>
    <t>Breakeven Point for When to Take Benefits</t>
  </si>
  <si>
    <t>https://www.schwab.com/resource-center/insights/content/when-should-you-take-social-security</t>
  </si>
  <si>
    <t>LT36</t>
  </si>
  <si>
    <t>FRAAGE</t>
  </si>
  <si>
    <t>Age:</t>
  </si>
  <si>
    <t>Annually</t>
  </si>
  <si>
    <t>Cost of Living Adjustment (COLA)</t>
  </si>
  <si>
    <t>Calc. Spouse's Benefit (50% of worker's PIA)</t>
  </si>
  <si>
    <t>after tx</t>
  </si>
  <si>
    <t>D.B.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</si>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</sst>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54">
    <xf numFmtId="0" fontId="0" fillId="0" borderId="0" xfId="0"/>
    <xf numFmtId="0" fontId="4" fillId="0" borderId="0" xfId="0" applyFont="1"/>
    <xf numFmtId="43" fontId="4" fillId="0" borderId="0" xfId="1" applyFont="1"/>
    <xf numFmtId="0" fontId="4" fillId="4" borderId="3" xfId="0" applyFont="1" applyFill="1" applyBorder="1"/>
    <xf numFmtId="0" fontId="4" fillId="4" borderId="0" xfId="0" applyFont="1" applyFill="1"/>
    <xf numFmtId="0" fontId="6" fillId="4" borderId="5" xfId="0" applyFont="1" applyFill="1" applyBorder="1"/>
    <xf numFmtId="165" fontId="4" fillId="2" borderId="0" xfId="1" applyNumberFormat="1" applyFont="1" applyFill="1" applyAlignment="1">
      <alignment horizontal="right"/>
    </xf>
    <xf numFmtId="165" fontId="4" fillId="3" borderId="0" xfId="1" applyNumberFormat="1" applyFont="1" applyFill="1"/>
    <xf numFmtId="165" fontId="4" fillId="3" borderId="9" xfId="1" applyNumberFormat="1" applyFont="1" applyFill="1" applyBorder="1"/>
    <xf numFmtId="43" fontId="4" fillId="3" borderId="4" xfId="1" applyFont="1" applyFill="1" applyBorder="1"/>
    <xf numFmtId="165" fontId="0" fillId="3" borderId="0" xfId="1" applyNumberFormat="1" applyFont="1" applyFill="1"/>
    <xf numFmtId="43" fontId="4" fillId="3" borderId="6" xfId="1" applyFont="1" applyFill="1" applyBorder="1"/>
    <xf numFmtId="0" fontId="4" fillId="5" borderId="10" xfId="0" applyFont="1" applyFill="1" applyBorder="1"/>
    <xf numFmtId="0" fontId="4" fillId="5" borderId="12" xfId="0" applyFont="1" applyFill="1" applyBorder="1"/>
    <xf numFmtId="0" fontId="4" fillId="5" borderId="14" xfId="0" applyFont="1" applyFill="1" applyBorder="1"/>
    <xf numFmtId="0" fontId="4" fillId="5" borderId="13" xfId="0" applyFont="1" applyFill="1" applyBorder="1"/>
    <xf numFmtId="0" fontId="0" fillId="5" borderId="14" xfId="0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4" borderId="13" xfId="0" applyFont="1" applyFill="1" applyBorder="1"/>
    <xf numFmtId="0" fontId="4" fillId="4" borderId="13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13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5" fontId="4" fillId="2" borderId="14" xfId="1" applyNumberFormat="1" applyFont="1" applyFill="1" applyBorder="1" applyAlignment="1">
      <alignment horizontal="right"/>
    </xf>
    <xf numFmtId="0" fontId="4" fillId="5" borderId="0" xfId="0" applyFont="1" applyFill="1"/>
    <xf numFmtId="0" fontId="8" fillId="4" borderId="1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4" fillId="4" borderId="21" xfId="0" applyFont="1" applyFill="1" applyBorder="1"/>
    <xf numFmtId="0" fontId="4" fillId="4" borderId="22" xfId="0" applyFont="1" applyFill="1" applyBorder="1"/>
    <xf numFmtId="0" fontId="4" fillId="4" borderId="0" xfId="0" applyFont="1" applyFill="1" applyAlignment="1">
      <alignment horizontal="left" indent="1"/>
    </xf>
    <xf numFmtId="43" fontId="4" fillId="4" borderId="0" xfId="1" applyFont="1" applyFill="1"/>
    <xf numFmtId="43" fontId="4" fillId="4" borderId="0" xfId="1" applyFont="1" applyFill="1" applyAlignment="1">
      <alignment horizontal="right"/>
    </xf>
    <xf numFmtId="9" fontId="4" fillId="4" borderId="0" xfId="2" applyFont="1" applyFill="1"/>
    <xf numFmtId="0" fontId="4" fillId="4" borderId="1" xfId="0" applyFont="1" applyFill="1" applyBorder="1"/>
    <xf numFmtId="0" fontId="4" fillId="4" borderId="5" xfId="0" applyFont="1" applyFill="1" applyBorder="1"/>
    <xf numFmtId="9" fontId="4" fillId="3" borderId="3" xfId="2" applyFont="1" applyFill="1" applyBorder="1"/>
    <xf numFmtId="9" fontId="4" fillId="3" borderId="5" xfId="2" applyFont="1" applyFill="1" applyBorder="1"/>
    <xf numFmtId="0" fontId="4" fillId="4" borderId="24" xfId="0" applyFont="1" applyFill="1" applyBorder="1"/>
    <xf numFmtId="0" fontId="4" fillId="4" borderId="18" xfId="0" applyFont="1" applyFill="1" applyBorder="1"/>
    <xf numFmtId="44" fontId="4" fillId="3" borderId="23" xfId="3" applyFont="1" applyFill="1" applyBorder="1"/>
    <xf numFmtId="44" fontId="4" fillId="2" borderId="19" xfId="3" applyFont="1" applyFill="1" applyBorder="1"/>
    <xf numFmtId="0" fontId="4" fillId="0" borderId="1" xfId="0" applyFont="1" applyBorder="1"/>
    <xf numFmtId="0" fontId="4" fillId="0" borderId="8" xfId="0" applyFont="1" applyBorder="1"/>
    <xf numFmtId="10" fontId="4" fillId="0" borderId="2" xfId="0" applyNumberFormat="1" applyFont="1" applyBorder="1"/>
    <xf numFmtId="0" fontId="4" fillId="0" borderId="3" xfId="0" applyFont="1" applyBorder="1"/>
    <xf numFmtId="10" fontId="4" fillId="0" borderId="4" xfId="0" applyNumberFormat="1" applyFont="1" applyBorder="1"/>
    <xf numFmtId="0" fontId="4" fillId="0" borderId="5" xfId="0" applyFont="1" applyBorder="1"/>
    <xf numFmtId="0" fontId="4" fillId="0" borderId="9" xfId="0" applyFont="1" applyBorder="1"/>
    <xf numFmtId="10" fontId="4" fillId="0" borderId="6" xfId="0" applyNumberFormat="1" applyFont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2" borderId="8" xfId="0" applyFont="1" applyFill="1" applyBorder="1"/>
    <xf numFmtId="0" fontId="4" fillId="3" borderId="2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0" fillId="4" borderId="4" xfId="0" applyFill="1" applyBorder="1"/>
    <xf numFmtId="0" fontId="4" fillId="4" borderId="6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left" indent="1"/>
    </xf>
    <xf numFmtId="0" fontId="4" fillId="0" borderId="2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3" xfId="0" applyFont="1" applyBorder="1" applyAlignment="1">
      <alignment horizontal="left" indent="1"/>
    </xf>
    <xf numFmtId="17" fontId="4" fillId="0" borderId="0" xfId="0" applyNumberFormat="1" applyFont="1"/>
    <xf numFmtId="0" fontId="4" fillId="5" borderId="11" xfId="0" applyFont="1" applyFill="1" applyBorder="1"/>
    <xf numFmtId="0" fontId="6" fillId="4" borderId="14" xfId="0" applyFont="1" applyFill="1" applyBorder="1"/>
    <xf numFmtId="0" fontId="6" fillId="4" borderId="0" xfId="0" applyFont="1" applyFill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6" fillId="0" borderId="0" xfId="0" applyFont="1" applyAlignment="1">
      <alignment horizontal="left" indent="1"/>
    </xf>
    <xf numFmtId="0" fontId="6" fillId="4" borderId="4" xfId="0" applyFont="1" applyFill="1" applyBorder="1" applyAlignment="1">
      <alignment horizontal="left" indent="1"/>
    </xf>
    <xf numFmtId="0" fontId="4" fillId="0" borderId="7" xfId="0" applyFont="1" applyBorder="1"/>
    <xf numFmtId="0" fontId="4" fillId="2" borderId="0" xfId="0" applyFont="1" applyFill="1"/>
    <xf numFmtId="164" fontId="4" fillId="3" borderId="4" xfId="2" applyNumberFormat="1" applyFont="1" applyFill="1" applyBorder="1"/>
    <xf numFmtId="0" fontId="4" fillId="2" borderId="6" xfId="0" applyFont="1" applyFill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0" fontId="6" fillId="4" borderId="2" xfId="0" applyFont="1" applyFill="1" applyBorder="1" applyAlignment="1">
      <alignment horizontal="left" indent="1"/>
    </xf>
    <xf numFmtId="0" fontId="6" fillId="4" borderId="1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167" fontId="4" fillId="3" borderId="2" xfId="0" applyNumberFormat="1" applyFont="1" applyFill="1" applyBorder="1"/>
    <xf numFmtId="165" fontId="6" fillId="3" borderId="4" xfId="0" applyNumberFormat="1" applyFont="1" applyFill="1" applyBorder="1" applyAlignment="1">
      <alignment horizontal="center"/>
    </xf>
    <xf numFmtId="165" fontId="6" fillId="3" borderId="4" xfId="1" applyNumberFormat="1" applyFont="1" applyFill="1" applyBorder="1" applyAlignment="1">
      <alignment horizontal="center"/>
    </xf>
    <xf numFmtId="165" fontId="2" fillId="3" borderId="6" xfId="1" applyNumberFormat="1" applyFont="1" applyFill="1" applyBorder="1" applyAlignment="1">
      <alignment horizontal="center"/>
    </xf>
    <xf numFmtId="165" fontId="4" fillId="3" borderId="4" xfId="1" applyNumberFormat="1" applyFont="1" applyFill="1" applyBorder="1"/>
    <xf numFmtId="165" fontId="4" fillId="3" borderId="6" xfId="1" applyNumberFormat="1" applyFont="1" applyFill="1" applyBorder="1"/>
    <xf numFmtId="0" fontId="6" fillId="4" borderId="0" xfId="0" applyFont="1" applyFill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0" fillId="6" borderId="9" xfId="0" applyFont="1" applyFill="1" applyBorder="1"/>
    <xf numFmtId="0" fontId="10" fillId="6" borderId="6" xfId="0" applyFont="1" applyFill="1" applyBorder="1"/>
    <xf numFmtId="0" fontId="7" fillId="6" borderId="5" xfId="0" quotePrefix="1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3" xfId="0" applyFont="1" applyFill="1" applyBorder="1"/>
    <xf numFmtId="0" fontId="6" fillId="4" borderId="9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9" fillId="4" borderId="0" xfId="0" applyFont="1" applyFill="1"/>
    <xf numFmtId="0" fontId="2" fillId="4" borderId="0" xfId="0" applyFont="1" applyFill="1"/>
    <xf numFmtId="0" fontId="7" fillId="6" borderId="1" xfId="0" quotePrefix="1" applyFont="1" applyFill="1" applyBorder="1" applyAlignment="1">
      <alignment horizontal="left"/>
    </xf>
    <xf numFmtId="0" fontId="10" fillId="6" borderId="8" xfId="0" applyFont="1" applyFill="1" applyBorder="1"/>
    <xf numFmtId="0" fontId="10" fillId="6" borderId="2" xfId="0" applyFont="1" applyFill="1" applyBorder="1"/>
    <xf numFmtId="0" fontId="0" fillId="4" borderId="0" xfId="0" applyFill="1"/>
    <xf numFmtId="168" fontId="4" fillId="2" borderId="2" xfId="3" applyNumberFormat="1" applyFont="1" applyFill="1" applyBorder="1"/>
    <xf numFmtId="0" fontId="11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 indent="1"/>
    </xf>
    <xf numFmtId="0" fontId="4" fillId="2" borderId="2" xfId="0" applyFont="1" applyFill="1" applyBorder="1"/>
    <xf numFmtId="0" fontId="4" fillId="4" borderId="3" xfId="0" applyFont="1" applyFill="1" applyBorder="1" applyAlignment="1">
      <alignment horizontal="left" indent="1"/>
    </xf>
    <xf numFmtId="0" fontId="4" fillId="2" borderId="4" xfId="0" applyFont="1" applyFill="1" applyBorder="1"/>
    <xf numFmtId="0" fontId="4" fillId="4" borderId="5" xfId="0" applyFont="1" applyFill="1" applyBorder="1" applyAlignment="1">
      <alignment horizontal="left" indent="1"/>
    </xf>
    <xf numFmtId="0" fontId="4" fillId="4" borderId="5" xfId="0" applyFont="1" applyFill="1" applyBorder="1" applyAlignment="1">
      <alignment horizontal="left" indent="2"/>
    </xf>
    <xf numFmtId="0" fontId="12" fillId="0" borderId="0" xfId="4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8" xfId="1" applyNumberFormat="1" applyFont="1" applyFill="1" applyBorder="1"/>
    <xf numFmtId="0" fontId="4" fillId="3" borderId="3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164" fontId="4" fillId="2" borderId="6" xfId="2" applyNumberFormat="1" applyFont="1" applyFill="1" applyBorder="1"/>
    <xf numFmtId="165" fontId="4" fillId="3" borderId="2" xfId="1" applyNumberFormat="1" applyFont="1" applyFill="1" applyBorder="1"/>
    <xf numFmtId="0" fontId="4" fillId="3" borderId="5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4" xfId="0" applyFont="1" applyFill="1" applyBorder="1" applyAlignment="1">
      <alignment horizontal="center"/>
    </xf>
    <xf numFmtId="164" fontId="4" fillId="3" borderId="6" xfId="2" applyNumberFormat="1" applyFont="1" applyFill="1" applyBorder="1"/>
    <xf numFmtId="0" fontId="13" fillId="4" borderId="1" xfId="0" applyFont="1" applyFill="1" applyBorder="1" applyAlignment="1">
      <alignment horizontal="center"/>
    </xf>
    <xf numFmtId="0" fontId="11" fillId="4" borderId="8" xfId="0" applyFont="1" applyFill="1" applyBorder="1"/>
    <xf numFmtId="0" fontId="13" fillId="4" borderId="8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9" xfId="0" applyFont="1" applyFill="1" applyBorder="1"/>
    <xf numFmtId="0" fontId="4" fillId="7" borderId="6" xfId="0" applyFont="1" applyFill="1" applyBorder="1"/>
    <xf numFmtId="0" fontId="11" fillId="4" borderId="0" xfId="0" applyFont="1" applyFill="1" applyAlignment="1">
      <alignment horizontal="right"/>
    </xf>
    <xf numFmtId="164" fontId="4" fillId="2" borderId="2" xfId="2" applyNumberFormat="1" applyFont="1" applyFill="1" applyBorder="1"/>
    <xf numFmtId="165" fontId="4" fillId="2" borderId="6" xfId="1" applyNumberFormat="1" applyFont="1" applyFill="1" applyBorder="1"/>
    <xf numFmtId="0" fontId="6" fillId="0" borderId="0" xfId="0" applyFont="1"/>
    <xf numFmtId="0" fontId="6" fillId="0" borderId="26" xfId="0" applyFont="1" applyBorder="1" applyAlignment="1">
      <alignment horizontal="center"/>
    </xf>
    <xf numFmtId="165" fontId="6" fillId="0" borderId="12" xfId="1" applyNumberFormat="1" applyFont="1" applyBorder="1"/>
    <xf numFmtId="0" fontId="6" fillId="0" borderId="28" xfId="0" applyFont="1" applyBorder="1" applyAlignment="1">
      <alignment horizontal="center"/>
    </xf>
    <xf numFmtId="165" fontId="6" fillId="0" borderId="14" xfId="1" applyNumberFormat="1" applyFont="1" applyBorder="1"/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6" fillId="0" borderId="8" xfId="0" applyFont="1" applyBorder="1"/>
    <xf numFmtId="0" fontId="6" fillId="0" borderId="1" xfId="0" applyFont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0" borderId="3" xfId="0" applyFont="1" applyBorder="1"/>
    <xf numFmtId="164" fontId="6" fillId="3" borderId="4" xfId="2" applyNumberFormat="1" applyFont="1" applyFill="1" applyBorder="1"/>
    <xf numFmtId="9" fontId="6" fillId="3" borderId="4" xfId="2" applyFont="1" applyFill="1" applyBorder="1"/>
    <xf numFmtId="0" fontId="6" fillId="0" borderId="5" xfId="0" applyFont="1" applyBorder="1"/>
    <xf numFmtId="0" fontId="6" fillId="0" borderId="9" xfId="0" applyFont="1" applyBorder="1"/>
    <xf numFmtId="9" fontId="6" fillId="3" borderId="6" xfId="2" applyFont="1" applyFill="1" applyBorder="1"/>
    <xf numFmtId="0" fontId="6" fillId="0" borderId="31" xfId="0" applyFont="1" applyBorder="1"/>
    <xf numFmtId="0" fontId="6" fillId="3" borderId="2" xfId="0" quotePrefix="1" applyFont="1" applyFill="1" applyBorder="1"/>
    <xf numFmtId="0" fontId="6" fillId="3" borderId="3" xfId="0" applyFont="1" applyFill="1" applyBorder="1"/>
    <xf numFmtId="0" fontId="6" fillId="3" borderId="4" xfId="0" quotePrefix="1" applyFont="1" applyFill="1" applyBorder="1"/>
    <xf numFmtId="164" fontId="6" fillId="3" borderId="0" xfId="2" applyNumberFormat="1" applyFont="1" applyFill="1"/>
    <xf numFmtId="0" fontId="6" fillId="0" borderId="2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0" xfId="2" applyNumberFormat="1" applyFont="1"/>
    <xf numFmtId="165" fontId="6" fillId="0" borderId="3" xfId="1" applyNumberFormat="1" applyFont="1" applyBorder="1"/>
    <xf numFmtId="165" fontId="6" fillId="0" borderId="25" xfId="1" applyNumberFormat="1" applyFont="1" applyBorder="1"/>
    <xf numFmtId="165" fontId="6" fillId="0" borderId="0" xfId="1" applyNumberFormat="1" applyFont="1"/>
    <xf numFmtId="43" fontId="6" fillId="0" borderId="0" xfId="1" applyFont="1"/>
    <xf numFmtId="0" fontId="6" fillId="0" borderId="6" xfId="0" applyFont="1" applyBorder="1"/>
    <xf numFmtId="165" fontId="6" fillId="0" borderId="0" xfId="0" applyNumberFormat="1" applyFont="1"/>
    <xf numFmtId="43" fontId="6" fillId="0" borderId="0" xfId="0" applyNumberFormat="1" applyFont="1"/>
    <xf numFmtId="0" fontId="6" fillId="0" borderId="20" xfId="0" applyFont="1" applyBorder="1"/>
    <xf numFmtId="0" fontId="6" fillId="0" borderId="20" xfId="0" applyFont="1" applyBorder="1" applyAlignment="1">
      <alignment horizontal="left" indent="1"/>
    </xf>
    <xf numFmtId="9" fontId="6" fillId="0" borderId="0" xfId="0" applyNumberFormat="1" applyFont="1"/>
    <xf numFmtId="166" fontId="6" fillId="0" borderId="0" xfId="0" applyNumberFormat="1" applyFont="1"/>
    <xf numFmtId="165" fontId="6" fillId="2" borderId="0" xfId="1" applyNumberFormat="1" applyFont="1" applyFill="1"/>
    <xf numFmtId="0" fontId="6" fillId="0" borderId="10" xfId="0" applyFont="1" applyBorder="1"/>
    <xf numFmtId="165" fontId="6" fillId="0" borderId="11" xfId="1" applyNumberFormat="1" applyFont="1" applyBorder="1"/>
    <xf numFmtId="165" fontId="6" fillId="0" borderId="30" xfId="0" applyNumberFormat="1" applyFont="1" applyBorder="1" applyAlignment="1">
      <alignment horizontal="right"/>
    </xf>
    <xf numFmtId="0" fontId="6" fillId="5" borderId="0" xfId="0" applyFont="1" applyFill="1"/>
    <xf numFmtId="0" fontId="6" fillId="0" borderId="13" xfId="0" applyFont="1" applyBorder="1"/>
    <xf numFmtId="165" fontId="6" fillId="0" borderId="14" xfId="0" applyNumberFormat="1" applyFont="1" applyBorder="1" applyAlignment="1">
      <alignment horizontal="right"/>
    </xf>
    <xf numFmtId="0" fontId="6" fillId="0" borderId="15" xfId="0" applyFont="1" applyBorder="1"/>
    <xf numFmtId="165" fontId="6" fillId="0" borderId="16" xfId="1" applyNumberFormat="1" applyFont="1" applyBorder="1"/>
    <xf numFmtId="165" fontId="6" fillId="0" borderId="17" xfId="0" applyNumberFormat="1" applyFont="1" applyBorder="1" applyAlignment="1">
      <alignment horizontal="right"/>
    </xf>
    <xf numFmtId="0" fontId="6" fillId="4" borderId="14" xfId="0" applyFont="1" applyFill="1" applyBorder="1" applyAlignment="1">
      <alignment horizontal="center"/>
    </xf>
    <xf numFmtId="165" fontId="4" fillId="3" borderId="9" xfId="0" applyNumberFormat="1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165" fontId="4" fillId="3" borderId="2" xfId="1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3" borderId="6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9" fontId="4" fillId="2" borderId="8" xfId="2" applyFont="1" applyFill="1" applyBorder="1" applyAlignment="1">
      <alignment horizontal="left"/>
    </xf>
    <xf numFmtId="9" fontId="4" fillId="2" borderId="0" xfId="2" applyFont="1" applyFill="1" applyAlignment="1">
      <alignment horizontal="left"/>
    </xf>
    <xf numFmtId="0" fontId="4" fillId="0" borderId="25" xfId="0" applyFont="1" applyBorder="1"/>
    <xf numFmtId="0" fontId="6" fillId="4" borderId="3" xfId="0" applyFont="1" applyFill="1" applyBorder="1"/>
    <xf numFmtId="0" fontId="6" fillId="4" borderId="5" xfId="0" applyFont="1" applyFill="1" applyBorder="1" applyAlignment="1">
      <alignment horizontal="left" indent="1"/>
    </xf>
    <xf numFmtId="6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3"/>
    </xf>
    <xf numFmtId="0" fontId="5" fillId="4" borderId="11" xfId="0" applyFont="1" applyFill="1" applyBorder="1" applyAlignment="1">
      <alignment horizontal="left" indent="13"/>
    </xf>
    <xf numFmtId="0" fontId="5" fillId="4" borderId="12" xfId="0" applyFont="1" applyFill="1" applyBorder="1" applyAlignment="1">
      <alignment horizontal="left" indent="13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3" fontId="4" fillId="4" borderId="0" xfId="0" applyNumberFormat="1" applyFont="1" applyFill="1"/>
    <xf numFmtId="44" fontId="7" fillId="4" borderId="0" xfId="0" applyNumberFormat="1" applyFont="1" applyFill="1"/>
    <xf numFmtId="165" fontId="6" fillId="0" borderId="17" xfId="1" applyNumberFormat="1" applyFont="1" applyBorder="1"/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'Breakeven Years'!$B$39</c:f>
          <c:strCache>
            <c:ptCount val="1"/>
            <c:pt idx="0">
              <c:v> Comparing FRA-5 versus FRA+3 without taxes, the breakeven point at a 0.0% return is 79.  If you think you will live beyond 79, it is better for you to take Social Security at your FRA+3</c:v>
            </c:pt>
          </c:strCache>
        </c:strRef>
      </c:tx>
      <c:layout>
        <c:manualLayout>
          <c:xMode val="edge"/>
          <c:yMode val="edge"/>
          <c:x val="0.11344021249680239"/>
          <c:y val="0.11549705627051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Data!$O$51</c:f>
              <c:strCache>
                <c:ptCount val="1"/>
                <c:pt idx="0">
                  <c:v>FRA-5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Data!$N$52:$N$90</c:f>
              <c:strCache>
                <c:ptCount val="39"/>
                <c:pt idx="0">
                  <c:v>Age 61</c:v>
                </c:pt>
                <c:pt idx="1">
                  <c:v>Age 62</c:v>
                </c:pt>
                <c:pt idx="2">
                  <c:v>Age 63</c:v>
                </c:pt>
                <c:pt idx="3">
                  <c:v>Age 64</c:v>
                </c:pt>
                <c:pt idx="4">
                  <c:v>Age 65</c:v>
                </c:pt>
                <c:pt idx="5">
                  <c:v>Age 66</c:v>
                </c:pt>
                <c:pt idx="6">
                  <c:v>Age 67</c:v>
                </c:pt>
                <c:pt idx="7">
                  <c:v>Age 68</c:v>
                </c:pt>
                <c:pt idx="8">
                  <c:v>Age 69</c:v>
                </c:pt>
                <c:pt idx="9">
                  <c:v>Age 70</c:v>
                </c:pt>
                <c:pt idx="10">
                  <c:v>Age 71</c:v>
                </c:pt>
                <c:pt idx="11">
                  <c:v>Age 72</c:v>
                </c:pt>
                <c:pt idx="12">
                  <c:v>Age 73</c:v>
                </c:pt>
                <c:pt idx="13">
                  <c:v>Age 74</c:v>
                </c:pt>
                <c:pt idx="14">
                  <c:v>Age 75</c:v>
                </c:pt>
                <c:pt idx="15">
                  <c:v>Age 76</c:v>
                </c:pt>
                <c:pt idx="16">
                  <c:v>Age 77</c:v>
                </c:pt>
                <c:pt idx="17">
                  <c:v>Age 78</c:v>
                </c:pt>
                <c:pt idx="18">
                  <c:v>Age 79</c:v>
                </c:pt>
                <c:pt idx="19">
                  <c:v>Age 80</c:v>
                </c:pt>
                <c:pt idx="20">
                  <c:v>Age 81</c:v>
                </c:pt>
                <c:pt idx="21">
                  <c:v>Age 82</c:v>
                </c:pt>
                <c:pt idx="22">
                  <c:v>Age 83</c:v>
                </c:pt>
                <c:pt idx="23">
                  <c:v>Age 84</c:v>
                </c:pt>
                <c:pt idx="24">
                  <c:v>Age 85</c:v>
                </c:pt>
                <c:pt idx="25">
                  <c:v>Age 86</c:v>
                </c:pt>
                <c:pt idx="26">
                  <c:v>Age 87</c:v>
                </c:pt>
                <c:pt idx="27">
                  <c:v>Age 88</c:v>
                </c:pt>
                <c:pt idx="28">
                  <c:v>Age 89</c:v>
                </c:pt>
                <c:pt idx="29">
                  <c:v>Age 90</c:v>
                </c:pt>
                <c:pt idx="30">
                  <c:v>Age 91</c:v>
                </c:pt>
                <c:pt idx="31">
                  <c:v>Age 92</c:v>
                </c:pt>
                <c:pt idx="32">
                  <c:v>Age 93</c:v>
                </c:pt>
                <c:pt idx="33">
                  <c:v>Age 94</c:v>
                </c:pt>
                <c:pt idx="34">
                  <c:v>Age 95</c:v>
                </c:pt>
                <c:pt idx="35">
                  <c:v>Age 96</c:v>
                </c:pt>
                <c:pt idx="36">
                  <c:v>Age 97</c:v>
                </c:pt>
                <c:pt idx="37">
                  <c:v>Age 98</c:v>
                </c:pt>
                <c:pt idx="38">
                  <c:v>Age 99</c:v>
                </c:pt>
              </c:strCache>
            </c:strRef>
          </c:cat>
          <c:val>
            <c:numRef>
              <c:f>Data!$O$52:$O$90</c:f>
              <c:numCache>
                <c:formatCode>_(* #,##0_);_(* \(#,##0\);_(* "-"??_);_(@_)</c:formatCode>
                <c:ptCount val="39"/>
                <c:pt idx="0">
                  <c:v>21932.399999999998</c:v>
                </c:pt>
                <c:pt idx="1">
                  <c:v>43864.799999999996</c:v>
                </c:pt>
                <c:pt idx="2">
                  <c:v>65797.2</c:v>
                </c:pt>
                <c:pt idx="3">
                  <c:v>87729.599999999991</c:v>
                </c:pt>
                <c:pt idx="4">
                  <c:v>109661.99999999999</c:v>
                </c:pt>
                <c:pt idx="5">
                  <c:v>131594.4</c:v>
                </c:pt>
                <c:pt idx="6">
                  <c:v>153526.79999999999</c:v>
                </c:pt>
                <c:pt idx="7">
                  <c:v>175459.19999999998</c:v>
                </c:pt>
                <c:pt idx="8">
                  <c:v>197391.59999999998</c:v>
                </c:pt>
                <c:pt idx="9">
                  <c:v>219323.99999999997</c:v>
                </c:pt>
                <c:pt idx="10">
                  <c:v>241256.39999999997</c:v>
                </c:pt>
                <c:pt idx="11">
                  <c:v>263188.8</c:v>
                </c:pt>
                <c:pt idx="12">
                  <c:v>285121.2</c:v>
                </c:pt>
                <c:pt idx="13">
                  <c:v>307053.60000000003</c:v>
                </c:pt>
                <c:pt idx="14">
                  <c:v>328986.00000000006</c:v>
                </c:pt>
                <c:pt idx="15">
                  <c:v>350918.40000000008</c:v>
                </c:pt>
                <c:pt idx="16">
                  <c:v>372850.8000000001</c:v>
                </c:pt>
                <c:pt idx="17">
                  <c:v>394783.20000000013</c:v>
                </c:pt>
                <c:pt idx="18">
                  <c:v>416715.60000000015</c:v>
                </c:pt>
                <c:pt idx="19">
                  <c:v>438648.00000000017</c:v>
                </c:pt>
                <c:pt idx="20">
                  <c:v>460580.4000000002</c:v>
                </c:pt>
                <c:pt idx="21">
                  <c:v>482512.80000000022</c:v>
                </c:pt>
                <c:pt idx="22">
                  <c:v>504445.20000000024</c:v>
                </c:pt>
                <c:pt idx="23">
                  <c:v>526377.60000000021</c:v>
                </c:pt>
                <c:pt idx="24">
                  <c:v>548310.00000000023</c:v>
                </c:pt>
                <c:pt idx="25">
                  <c:v>570242.40000000026</c:v>
                </c:pt>
                <c:pt idx="26">
                  <c:v>592174.80000000028</c:v>
                </c:pt>
                <c:pt idx="27">
                  <c:v>614107.2000000003</c:v>
                </c:pt>
                <c:pt idx="28">
                  <c:v>636039.60000000033</c:v>
                </c:pt>
                <c:pt idx="29">
                  <c:v>657972.00000000035</c:v>
                </c:pt>
                <c:pt idx="30">
                  <c:v>679904.40000000037</c:v>
                </c:pt>
                <c:pt idx="31">
                  <c:v>701836.8000000004</c:v>
                </c:pt>
                <c:pt idx="32">
                  <c:v>723769.20000000042</c:v>
                </c:pt>
                <c:pt idx="33">
                  <c:v>745701.60000000044</c:v>
                </c:pt>
                <c:pt idx="34">
                  <c:v>767634.00000000047</c:v>
                </c:pt>
                <c:pt idx="35">
                  <c:v>789566.40000000049</c:v>
                </c:pt>
                <c:pt idx="36">
                  <c:v>811498.80000000051</c:v>
                </c:pt>
                <c:pt idx="37">
                  <c:v>833431.20000000054</c:v>
                </c:pt>
                <c:pt idx="38">
                  <c:v>855363.60000000056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4-404D-9540-DF66EB35885F}"/>
            </c:ext>
          </c:extLst>
        </c:ser>
        <c:ser>
          <c:idx val="1"/>
          <c:order val="1"/>
          <c:tx>
            <c:strRef>
              <c:f>Data!$P$51</c:f>
              <c:strCache>
                <c:ptCount val="1"/>
                <c:pt idx="0">
                  <c:v>FRA+3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Data!$N$52:$N$90</c:f>
              <c:strCache>
                <c:ptCount val="39"/>
                <c:pt idx="0">
                  <c:v>Age 61</c:v>
                </c:pt>
                <c:pt idx="1">
                  <c:v>Age 62</c:v>
                </c:pt>
                <c:pt idx="2">
                  <c:v>Age 63</c:v>
                </c:pt>
                <c:pt idx="3">
                  <c:v>Age 64</c:v>
                </c:pt>
                <c:pt idx="4">
                  <c:v>Age 65</c:v>
                </c:pt>
                <c:pt idx="5">
                  <c:v>Age 66</c:v>
                </c:pt>
                <c:pt idx="6">
                  <c:v>Age 67</c:v>
                </c:pt>
                <c:pt idx="7">
                  <c:v>Age 68</c:v>
                </c:pt>
                <c:pt idx="8">
                  <c:v>Age 69</c:v>
                </c:pt>
                <c:pt idx="9">
                  <c:v>Age 70</c:v>
                </c:pt>
                <c:pt idx="10">
                  <c:v>Age 71</c:v>
                </c:pt>
                <c:pt idx="11">
                  <c:v>Age 72</c:v>
                </c:pt>
                <c:pt idx="12">
                  <c:v>Age 73</c:v>
                </c:pt>
                <c:pt idx="13">
                  <c:v>Age 74</c:v>
                </c:pt>
                <c:pt idx="14">
                  <c:v>Age 75</c:v>
                </c:pt>
                <c:pt idx="15">
                  <c:v>Age 76</c:v>
                </c:pt>
                <c:pt idx="16">
                  <c:v>Age 77</c:v>
                </c:pt>
                <c:pt idx="17">
                  <c:v>Age 78</c:v>
                </c:pt>
                <c:pt idx="18">
                  <c:v>Age 79</c:v>
                </c:pt>
                <c:pt idx="19">
                  <c:v>Age 80</c:v>
                </c:pt>
                <c:pt idx="20">
                  <c:v>Age 81</c:v>
                </c:pt>
                <c:pt idx="21">
                  <c:v>Age 82</c:v>
                </c:pt>
                <c:pt idx="22">
                  <c:v>Age 83</c:v>
                </c:pt>
                <c:pt idx="23">
                  <c:v>Age 84</c:v>
                </c:pt>
                <c:pt idx="24">
                  <c:v>Age 85</c:v>
                </c:pt>
                <c:pt idx="25">
                  <c:v>Age 86</c:v>
                </c:pt>
                <c:pt idx="26">
                  <c:v>Age 87</c:v>
                </c:pt>
                <c:pt idx="27">
                  <c:v>Age 88</c:v>
                </c:pt>
                <c:pt idx="28">
                  <c:v>Age 89</c:v>
                </c:pt>
                <c:pt idx="29">
                  <c:v>Age 90</c:v>
                </c:pt>
                <c:pt idx="30">
                  <c:v>Age 91</c:v>
                </c:pt>
                <c:pt idx="31">
                  <c:v>Age 92</c:v>
                </c:pt>
                <c:pt idx="32">
                  <c:v>Age 93</c:v>
                </c:pt>
                <c:pt idx="33">
                  <c:v>Age 94</c:v>
                </c:pt>
                <c:pt idx="34">
                  <c:v>Age 95</c:v>
                </c:pt>
                <c:pt idx="35">
                  <c:v>Age 96</c:v>
                </c:pt>
                <c:pt idx="36">
                  <c:v>Age 97</c:v>
                </c:pt>
                <c:pt idx="37">
                  <c:v>Age 98</c:v>
                </c:pt>
                <c:pt idx="38">
                  <c:v>Age 99</c:v>
                </c:pt>
              </c:strCache>
            </c:strRef>
          </c:cat>
          <c:val>
            <c:numRef>
              <c:f>Data!$P$52:$P$90</c:f>
              <c:numCache>
                <c:formatCode>_(* #,##0_);_(* \(#,##0\);_(* "-"??_);_(@_)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38851.68</c:v>
                </c:pt>
                <c:pt idx="9">
                  <c:v>77703.360000000001</c:v>
                </c:pt>
                <c:pt idx="10">
                  <c:v>116555.04000000001</c:v>
                </c:pt>
                <c:pt idx="11">
                  <c:v>155406.72</c:v>
                </c:pt>
                <c:pt idx="12">
                  <c:v>194258.4</c:v>
                </c:pt>
                <c:pt idx="13">
                  <c:v>233110.08</c:v>
                </c:pt>
                <c:pt idx="14">
                  <c:v>271961.76</c:v>
                </c:pt>
                <c:pt idx="15">
                  <c:v>310813.44</c:v>
                </c:pt>
                <c:pt idx="16">
                  <c:v>349665.12</c:v>
                </c:pt>
                <c:pt idx="17">
                  <c:v>388516.8</c:v>
                </c:pt>
                <c:pt idx="18">
                  <c:v>427368.48</c:v>
                </c:pt>
                <c:pt idx="19">
                  <c:v>466220.16</c:v>
                </c:pt>
                <c:pt idx="20">
                  <c:v>505071.83999999997</c:v>
                </c:pt>
                <c:pt idx="21">
                  <c:v>543923.52</c:v>
                </c:pt>
                <c:pt idx="22">
                  <c:v>582775.20000000007</c:v>
                </c:pt>
                <c:pt idx="23">
                  <c:v>621626.88000000012</c:v>
                </c:pt>
                <c:pt idx="24">
                  <c:v>660478.56000000017</c:v>
                </c:pt>
                <c:pt idx="25">
                  <c:v>699330.24000000022</c:v>
                </c:pt>
                <c:pt idx="26">
                  <c:v>738181.92000000027</c:v>
                </c:pt>
                <c:pt idx="27">
                  <c:v>777033.60000000033</c:v>
                </c:pt>
                <c:pt idx="28">
                  <c:v>815885.28000000038</c:v>
                </c:pt>
                <c:pt idx="29">
                  <c:v>854736.96000000043</c:v>
                </c:pt>
                <c:pt idx="30">
                  <c:v>893588.64000000048</c:v>
                </c:pt>
                <c:pt idx="31">
                  <c:v>932440.32000000053</c:v>
                </c:pt>
                <c:pt idx="32">
                  <c:v>971292.00000000058</c:v>
                </c:pt>
                <c:pt idx="33">
                  <c:v>1010143.6800000006</c:v>
                </c:pt>
                <c:pt idx="34">
                  <c:v>1048995.3600000006</c:v>
                </c:pt>
                <c:pt idx="35">
                  <c:v>1087847.0400000005</c:v>
                </c:pt>
                <c:pt idx="36">
                  <c:v>1126698.7200000004</c:v>
                </c:pt>
                <c:pt idx="37">
                  <c:v>1165550.4000000004</c:v>
                </c:pt>
                <c:pt idx="38">
                  <c:v>1204402.0800000003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4-404D-9540-DF66EB358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31600"/>
        <c:axId val="373332160"/>
      </c:lineChart>
      <c:catAx>
        <c:axId val="37333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32160"/>
        <c:crosses val="autoZero"/>
        <c:auto val="1"/>
        <c:lblAlgn val="ctr"/>
        <c:lblOffset val="100"/>
        <c:noMultiLvlLbl val="0"/>
      </c:catAx>
      <c:valAx>
        <c:axId val="3733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76200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5</xdr:row>
      <xdr:rowOff>38100</xdr:rowOff>
    </xdr:from>
    <xdr:to>
      <xdr:col>24</xdr:col>
      <xdr:colOff>193280</xdr:colOff>
      <xdr:row>9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2005" y="5810250"/>
          <a:ext cx="802878" cy="809625"/>
        </a:xfrm>
        <a:prstGeom prst="rect">
          <a:avLst/>
        </a:prstGeom>
      </xdr:spPr>
    </xdr:pic>
    <xdr:clientData/>
  </xdr:twoCellAnchor>
  <xdr:twoCellAnchor editAs="oneCell">
    <xdr:from>
      <xdr:col>10</xdr:col>
      <xdr:colOff>126999</xdr:colOff>
      <xdr:row>1</xdr:row>
      <xdr:rowOff>31749</xdr:rowOff>
    </xdr:from>
    <xdr:to>
      <xdr:col>11</xdr:col>
      <xdr:colOff>155356</xdr:colOff>
      <xdr:row>4</xdr:row>
      <xdr:rowOff>1210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8624" y="222249"/>
          <a:ext cx="607795" cy="612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19050</xdr:rowOff>
    </xdr:from>
    <xdr:to>
      <xdr:col>12</xdr:col>
      <xdr:colOff>190500</xdr:colOff>
      <xdr:row>37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0.219</cdr:x>
      <cdr:y>0.03171</cdr:y>
    </cdr:from>
    <cdr:to>
      <cdr:x>0.70048</cdr:x>
      <cdr:y>0.09091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0" y="142875"/>
          <a:ext cx="28479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Social Security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hwab.com/resource-center/insights/content/when-should-you-take-social-securit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F5" sqref="F5"/>
    </sheetView>
  </sheetViews>
  <sheetFormatPr defaultRowHeight="15" x14ac:dyDescent="0.25"/>
  <cols>
    <col min="1" max="10" width="9.140625" style="1"/>
    <col min="11" max="11" width="11.85546875" style="1" customWidth="1"/>
    <col min="12" max="16384" width="9.140625" style="1"/>
  </cols>
  <sheetData>
    <row r="2" spans="2:11" x14ac:dyDescent="0.25">
      <c r="B2" s="216" t="s">
        <v>47</v>
      </c>
      <c r="C2" s="217"/>
      <c r="D2" s="217"/>
      <c r="E2" s="217"/>
      <c r="F2" s="217"/>
      <c r="G2" s="217"/>
      <c r="H2" s="217"/>
      <c r="I2" s="217"/>
      <c r="J2" s="217"/>
      <c r="K2" s="218"/>
    </row>
    <row r="3" spans="2:11" x14ac:dyDescent="0.25">
      <c r="B3" s="219" t="s">
        <v>32</v>
      </c>
      <c r="C3" s="220"/>
      <c r="D3" s="220"/>
      <c r="E3" s="220"/>
      <c r="F3" s="220"/>
      <c r="G3" s="220"/>
      <c r="H3" s="220"/>
      <c r="I3" s="220"/>
      <c r="J3" s="220"/>
      <c r="K3" s="221"/>
    </row>
    <row r="4" spans="2:11" x14ac:dyDescent="0.25">
      <c r="F4" s="75">
        <v>43550</v>
      </c>
    </row>
    <row r="5" spans="2:11" x14ac:dyDescent="0.25">
      <c r="B5" s="1" t="s">
        <v>33</v>
      </c>
    </row>
    <row r="6" spans="2:11" x14ac:dyDescent="0.25">
      <c r="B6" s="49" t="s">
        <v>76</v>
      </c>
      <c r="C6" s="50"/>
      <c r="D6" s="50"/>
      <c r="E6" s="50"/>
      <c r="F6" s="50"/>
      <c r="G6" s="50"/>
      <c r="H6" s="50"/>
      <c r="I6" s="50"/>
      <c r="J6" s="50"/>
      <c r="K6" s="71"/>
    </row>
    <row r="7" spans="2:11" x14ac:dyDescent="0.25">
      <c r="B7" s="74" t="s">
        <v>77</v>
      </c>
      <c r="K7" s="72"/>
    </row>
    <row r="8" spans="2:11" x14ac:dyDescent="0.25">
      <c r="B8" s="74" t="s">
        <v>80</v>
      </c>
      <c r="K8" s="72"/>
    </row>
    <row r="9" spans="2:11" x14ac:dyDescent="0.25">
      <c r="B9" s="74" t="s">
        <v>78</v>
      </c>
      <c r="K9" s="72"/>
    </row>
    <row r="10" spans="2:11" x14ac:dyDescent="0.25">
      <c r="B10" s="74" t="s">
        <v>79</v>
      </c>
      <c r="K10" s="72"/>
    </row>
    <row r="11" spans="2:11" x14ac:dyDescent="0.25">
      <c r="B11" s="52" t="s">
        <v>81</v>
      </c>
      <c r="K11" s="72"/>
    </row>
    <row r="12" spans="2:11" x14ac:dyDescent="0.25">
      <c r="B12" s="52" t="s">
        <v>82</v>
      </c>
      <c r="K12" s="72"/>
    </row>
    <row r="13" spans="2:11" x14ac:dyDescent="0.25">
      <c r="B13" s="52" t="s">
        <v>83</v>
      </c>
      <c r="K13" s="72"/>
    </row>
    <row r="14" spans="2:11" x14ac:dyDescent="0.25">
      <c r="B14" s="54" t="s">
        <v>84</v>
      </c>
      <c r="C14" s="55"/>
      <c r="D14" s="55"/>
      <c r="E14" s="55"/>
      <c r="F14" s="55"/>
      <c r="G14" s="55"/>
      <c r="H14" s="55"/>
      <c r="I14" s="55"/>
      <c r="J14" s="55"/>
      <c r="K14" s="73"/>
    </row>
    <row r="16" spans="2:11" x14ac:dyDescent="0.25">
      <c r="B16" s="1" t="s">
        <v>34</v>
      </c>
    </row>
    <row r="17" spans="2:11" x14ac:dyDescent="0.25">
      <c r="B17" s="49" t="s">
        <v>85</v>
      </c>
      <c r="C17" s="50"/>
      <c r="D17" s="50"/>
      <c r="E17" s="50"/>
      <c r="F17" s="50"/>
      <c r="G17" s="50"/>
      <c r="H17" s="50"/>
      <c r="I17" s="50"/>
      <c r="J17" s="50"/>
      <c r="K17" s="71"/>
    </row>
    <row r="18" spans="2:11" x14ac:dyDescent="0.25">
      <c r="B18" s="52" t="s">
        <v>86</v>
      </c>
      <c r="K18" s="72"/>
    </row>
    <row r="19" spans="2:11" x14ac:dyDescent="0.25">
      <c r="B19" s="52" t="s">
        <v>87</v>
      </c>
      <c r="K19" s="72"/>
    </row>
    <row r="20" spans="2:11" x14ac:dyDescent="0.25">
      <c r="B20" s="54" t="s">
        <v>88</v>
      </c>
      <c r="C20" s="55"/>
      <c r="D20" s="55"/>
      <c r="E20" s="55"/>
      <c r="F20" s="55"/>
      <c r="G20" s="55"/>
      <c r="H20" s="55"/>
      <c r="I20" s="55"/>
      <c r="J20" s="55"/>
      <c r="K20" s="73"/>
    </row>
  </sheetData>
  <mergeCells count="2">
    <mergeCell ref="B2:K2"/>
    <mergeCell ref="B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"/>
  <sheetViews>
    <sheetView topLeftCell="A4" zoomScale="140" zoomScaleNormal="140" workbookViewId="0">
      <selection activeCell="G12" sqref="G12"/>
    </sheetView>
  </sheetViews>
  <sheetFormatPr defaultColWidth="9.140625" defaultRowHeight="15" x14ac:dyDescent="0.25"/>
  <cols>
    <col min="1" max="3" width="3.7109375" style="1" customWidth="1"/>
    <col min="4" max="7" width="11.28515625" style="1" customWidth="1"/>
    <col min="8" max="8" width="3.7109375" style="1" customWidth="1"/>
    <col min="9" max="11" width="8.7109375" style="1" customWidth="1"/>
    <col min="12" max="13" width="3.7109375" style="1" customWidth="1"/>
    <col min="14" max="14" width="8.7109375" style="1" customWidth="1"/>
    <col min="15" max="15" width="11" style="4" customWidth="1"/>
    <col min="16" max="16" width="8.7109375" style="4" customWidth="1"/>
    <col min="17" max="17" width="9.5703125" style="4" bestFit="1" customWidth="1"/>
    <col min="18" max="18" width="9.5703125" style="1" bestFit="1" customWidth="1"/>
    <col min="19" max="19" width="9.140625" style="1"/>
    <col min="20" max="20" width="11.7109375" style="1" bestFit="1" customWidth="1"/>
    <col min="21" max="16384" width="9.140625" style="1"/>
  </cols>
  <sheetData>
    <row r="1" spans="1:28" x14ac:dyDescent="0.25">
      <c r="A1" s="4"/>
      <c r="B1" s="12"/>
      <c r="C1" s="76"/>
      <c r="D1" s="76"/>
      <c r="E1" s="76"/>
      <c r="F1" s="76"/>
      <c r="G1" s="76"/>
      <c r="H1" s="76"/>
      <c r="I1" s="76"/>
      <c r="J1" s="76"/>
      <c r="K1" s="76"/>
      <c r="L1" s="76"/>
      <c r="M1" s="13"/>
      <c r="N1" s="4"/>
      <c r="R1" s="1" t="s">
        <v>95</v>
      </c>
      <c r="Z1" s="1" t="s">
        <v>62</v>
      </c>
    </row>
    <row r="2" spans="1:28" ht="15.75" x14ac:dyDescent="0.25">
      <c r="A2" s="4"/>
      <c r="B2" s="15"/>
      <c r="C2" s="41"/>
      <c r="D2" s="228" t="s">
        <v>89</v>
      </c>
      <c r="E2" s="228"/>
      <c r="F2" s="228"/>
      <c r="G2" s="228"/>
      <c r="H2" s="228"/>
      <c r="I2" s="228"/>
      <c r="J2" s="228"/>
      <c r="K2" s="228"/>
      <c r="L2" s="64"/>
      <c r="M2" s="14"/>
      <c r="N2" s="4"/>
      <c r="R2" s="82" t="s">
        <v>96</v>
      </c>
      <c r="Z2" s="1" t="s">
        <v>6</v>
      </c>
      <c r="AA2" s="1" t="s">
        <v>1</v>
      </c>
      <c r="AB2" s="1" t="s">
        <v>63</v>
      </c>
    </row>
    <row r="3" spans="1:28" ht="16.5" thickBot="1" x14ac:dyDescent="0.3">
      <c r="A3" s="4"/>
      <c r="B3" s="15"/>
      <c r="C3" s="3"/>
      <c r="D3" s="229" t="s">
        <v>50</v>
      </c>
      <c r="E3" s="229"/>
      <c r="F3" s="229"/>
      <c r="G3" s="229"/>
      <c r="H3" s="229"/>
      <c r="I3" s="229"/>
      <c r="J3" s="229"/>
      <c r="K3" s="229"/>
      <c r="L3" s="65"/>
      <c r="M3" s="14"/>
      <c r="N3" s="4"/>
      <c r="R3" s="212" t="s">
        <v>97</v>
      </c>
      <c r="S3" s="213" t="s">
        <v>44</v>
      </c>
      <c r="Z3" s="49" t="s">
        <v>74</v>
      </c>
      <c r="AA3" s="50">
        <v>65</v>
      </c>
      <c r="AB3" s="51">
        <v>6.5000000000000002E-2</v>
      </c>
    </row>
    <row r="4" spans="1:28" ht="18.75" x14ac:dyDescent="0.3">
      <c r="A4" s="4"/>
      <c r="B4" s="15"/>
      <c r="C4" s="42"/>
      <c r="D4" s="223" t="str">
        <f>"Using Bend Points for "&amp;E10</f>
        <v>Using Bend Points for 2019</v>
      </c>
      <c r="E4" s="223"/>
      <c r="F4" s="223"/>
      <c r="G4" s="223"/>
      <c r="H4" s="223"/>
      <c r="I4" s="223"/>
      <c r="J4" s="223"/>
      <c r="K4" s="223"/>
      <c r="L4" s="68"/>
      <c r="M4" s="14"/>
      <c r="N4" s="4"/>
      <c r="R4" s="225" t="s">
        <v>37</v>
      </c>
      <c r="S4" s="226"/>
      <c r="T4" s="226"/>
      <c r="U4" s="226"/>
      <c r="V4" s="226"/>
      <c r="W4" s="227"/>
      <c r="Z4" s="52">
        <v>1938</v>
      </c>
      <c r="AA4" s="1" t="s">
        <v>69</v>
      </c>
      <c r="AB4" s="53">
        <v>6.5000000000000002E-2</v>
      </c>
    </row>
    <row r="5" spans="1:28" x14ac:dyDescent="0.25">
      <c r="A5" s="4"/>
      <c r="B5" s="15"/>
      <c r="C5" s="28"/>
      <c r="D5" s="28"/>
      <c r="E5" s="28"/>
      <c r="F5" s="28"/>
      <c r="G5" s="28"/>
      <c r="H5" s="28"/>
      <c r="I5" s="28"/>
      <c r="J5" s="28"/>
      <c r="K5" s="28"/>
      <c r="L5" s="28"/>
      <c r="M5" s="14"/>
      <c r="N5" s="4"/>
      <c r="R5" s="20"/>
      <c r="S5" s="69" t="s">
        <v>38</v>
      </c>
      <c r="T5" s="69"/>
      <c r="U5" s="69" t="s">
        <v>39</v>
      </c>
      <c r="V5" s="69"/>
      <c r="W5" s="77"/>
      <c r="Z5" s="52">
        <v>1939</v>
      </c>
      <c r="AA5" s="1" t="s">
        <v>70</v>
      </c>
      <c r="AB5" s="53">
        <v>7.0000000000000007E-2</v>
      </c>
    </row>
    <row r="6" spans="1:28" x14ac:dyDescent="0.25">
      <c r="A6" s="4"/>
      <c r="B6" s="15"/>
      <c r="C6" s="29" t="s">
        <v>98</v>
      </c>
      <c r="D6" s="57"/>
      <c r="E6" s="30"/>
      <c r="F6" s="30"/>
      <c r="G6" s="31"/>
      <c r="H6" s="57"/>
      <c r="I6" s="57"/>
      <c r="J6" s="57"/>
      <c r="K6" s="57"/>
      <c r="L6" s="64"/>
      <c r="M6" s="14"/>
      <c r="N6" s="4"/>
      <c r="R6" s="21" t="s">
        <v>40</v>
      </c>
      <c r="S6" s="78" t="s">
        <v>41</v>
      </c>
      <c r="T6" s="78" t="s">
        <v>42</v>
      </c>
      <c r="U6" s="78" t="s">
        <v>41</v>
      </c>
      <c r="V6" s="78" t="s">
        <v>42</v>
      </c>
      <c r="W6" s="79" t="s">
        <v>43</v>
      </c>
      <c r="Z6" s="52">
        <v>1940</v>
      </c>
      <c r="AA6" s="1" t="s">
        <v>71</v>
      </c>
      <c r="AB6" s="53">
        <v>7.0000000000000007E-2</v>
      </c>
    </row>
    <row r="7" spans="1:28" x14ac:dyDescent="0.25">
      <c r="A7" s="4"/>
      <c r="B7" s="15"/>
      <c r="C7" s="32" t="s">
        <v>108</v>
      </c>
      <c r="D7" s="58"/>
      <c r="E7" s="33"/>
      <c r="F7" s="33"/>
      <c r="G7" s="34"/>
      <c r="H7" s="58"/>
      <c r="I7" s="58"/>
      <c r="J7" s="58"/>
      <c r="K7" s="58"/>
      <c r="L7" s="68"/>
      <c r="M7" s="14"/>
      <c r="N7" s="4"/>
      <c r="R7" s="22">
        <v>2011</v>
      </c>
      <c r="S7" s="6">
        <v>749</v>
      </c>
      <c r="T7" s="6">
        <v>4517</v>
      </c>
      <c r="U7" s="6">
        <v>957</v>
      </c>
      <c r="V7" s="6">
        <v>1382</v>
      </c>
      <c r="W7" s="27">
        <v>1803</v>
      </c>
      <c r="Z7" s="52">
        <v>1941</v>
      </c>
      <c r="AA7" s="1" t="s">
        <v>72</v>
      </c>
      <c r="AB7" s="53">
        <v>0.08</v>
      </c>
    </row>
    <row r="8" spans="1:28" x14ac:dyDescent="0.25">
      <c r="A8" s="4"/>
      <c r="B8" s="15"/>
      <c r="C8" s="232" t="s">
        <v>129</v>
      </c>
      <c r="D8" s="232"/>
      <c r="E8" s="232"/>
      <c r="F8" s="232"/>
      <c r="G8" s="232"/>
      <c r="H8" s="232"/>
      <c r="I8" s="232"/>
      <c r="J8" s="232"/>
      <c r="K8" s="232"/>
      <c r="L8" s="232"/>
      <c r="M8" s="14"/>
      <c r="N8" s="4"/>
      <c r="R8" s="22">
        <v>2012</v>
      </c>
      <c r="S8" s="6">
        <v>767</v>
      </c>
      <c r="T8" s="6">
        <v>4624</v>
      </c>
      <c r="U8" s="6">
        <v>980</v>
      </c>
      <c r="V8" s="6">
        <v>1415</v>
      </c>
      <c r="W8" s="27">
        <v>1845</v>
      </c>
      <c r="Z8" s="52">
        <v>1942</v>
      </c>
      <c r="AA8" s="1" t="s">
        <v>73</v>
      </c>
      <c r="AB8" s="53">
        <v>0.08</v>
      </c>
    </row>
    <row r="9" spans="1:28" x14ac:dyDescent="0.25">
      <c r="A9" s="4"/>
      <c r="B9" s="15"/>
      <c r="C9" s="41"/>
      <c r="D9" s="57"/>
      <c r="E9" s="57"/>
      <c r="F9" s="57"/>
      <c r="G9" s="57"/>
      <c r="H9" s="57"/>
      <c r="I9" s="57"/>
      <c r="J9" s="111" t="str">
        <f>IF(G12="Yes","Spouses Benefit Calculation","")</f>
        <v/>
      </c>
      <c r="K9" s="57"/>
      <c r="L9" s="64"/>
      <c r="M9" s="14"/>
      <c r="N9" s="4"/>
      <c r="R9" s="22">
        <v>2013</v>
      </c>
      <c r="S9" s="6">
        <v>791</v>
      </c>
      <c r="T9" s="6">
        <v>4768</v>
      </c>
      <c r="U9" s="6">
        <v>1011</v>
      </c>
      <c r="V9" s="6">
        <v>1459</v>
      </c>
      <c r="W9" s="27">
        <v>1903</v>
      </c>
      <c r="Z9" s="52">
        <v>1943</v>
      </c>
      <c r="AA9" s="1">
        <v>66</v>
      </c>
      <c r="AB9" s="53">
        <v>0.08</v>
      </c>
    </row>
    <row r="10" spans="1:28" x14ac:dyDescent="0.25">
      <c r="A10" s="4"/>
      <c r="B10" s="15"/>
      <c r="C10" s="52"/>
      <c r="D10" s="41" t="s">
        <v>48</v>
      </c>
      <c r="E10" s="59">
        <v>2019</v>
      </c>
      <c r="F10" s="57" t="s">
        <v>1</v>
      </c>
      <c r="G10" s="60" t="str">
        <f>VLOOKUP($E$11,BirthYear,2)</f>
        <v>66 + 6 mo.</v>
      </c>
      <c r="I10" s="110" t="str">
        <f>IF(G12="Yes","Spouse","Worker")</f>
        <v>Worker</v>
      </c>
      <c r="J10" s="99" t="s">
        <v>103</v>
      </c>
      <c r="K10" s="104" t="s">
        <v>90</v>
      </c>
      <c r="L10" s="65"/>
      <c r="M10" s="14"/>
      <c r="N10" s="4"/>
      <c r="R10" s="22">
        <v>2014</v>
      </c>
      <c r="S10" s="6">
        <v>816</v>
      </c>
      <c r="T10" s="6">
        <v>4917</v>
      </c>
      <c r="U10" s="6">
        <v>1042</v>
      </c>
      <c r="V10" s="6">
        <v>1505</v>
      </c>
      <c r="W10" s="27">
        <v>1962</v>
      </c>
      <c r="Z10" s="52">
        <v>1944</v>
      </c>
      <c r="AA10" s="1">
        <v>66</v>
      </c>
      <c r="AB10" s="53">
        <v>0.08</v>
      </c>
    </row>
    <row r="11" spans="1:28" x14ac:dyDescent="0.25">
      <c r="A11" s="4"/>
      <c r="B11" s="15"/>
      <c r="C11" s="3"/>
      <c r="D11" s="3" t="s">
        <v>52</v>
      </c>
      <c r="E11" s="83">
        <v>1957</v>
      </c>
      <c r="F11" s="4" t="s">
        <v>60</v>
      </c>
      <c r="G11" s="84">
        <f>VLOOKUP($E$11,BirthYear,3)</f>
        <v>0.08</v>
      </c>
      <c r="H11" s="4"/>
      <c r="I11" s="100" t="s">
        <v>105</v>
      </c>
      <c r="J11" s="106" t="s">
        <v>104</v>
      </c>
      <c r="K11" s="105" t="s">
        <v>91</v>
      </c>
      <c r="L11" s="66"/>
      <c r="M11" s="14"/>
      <c r="N11" s="4"/>
      <c r="R11" s="22">
        <v>2015</v>
      </c>
      <c r="S11" s="6">
        <v>826</v>
      </c>
      <c r="T11" s="6">
        <v>4980</v>
      </c>
      <c r="U11" s="6">
        <v>1056</v>
      </c>
      <c r="V11" s="6">
        <v>1524</v>
      </c>
      <c r="W11" s="27">
        <v>1987</v>
      </c>
      <c r="Z11" s="52">
        <v>1945</v>
      </c>
      <c r="AA11" s="1">
        <v>66</v>
      </c>
      <c r="AB11" s="53">
        <v>0.08</v>
      </c>
    </row>
    <row r="12" spans="1:28" x14ac:dyDescent="0.25">
      <c r="A12" s="4"/>
      <c r="B12" s="15"/>
      <c r="C12" s="3"/>
      <c r="D12" s="5" t="s">
        <v>134</v>
      </c>
      <c r="E12" s="55"/>
      <c r="F12" s="58"/>
      <c r="G12" s="85" t="s">
        <v>97</v>
      </c>
      <c r="H12" s="4"/>
      <c r="I12" s="61" t="s">
        <v>53</v>
      </c>
      <c r="J12" s="98" t="str">
        <f>IF(RIGHT($J$17,3)="mo.",LEFT($J$17,2)-5&amp;RIGHT($J$17,8),LEFT($J$17,2)-5)</f>
        <v>61 + 6 mo.</v>
      </c>
      <c r="K12" s="93">
        <f>K17*0.7</f>
        <v>1827.8329999999999</v>
      </c>
      <c r="L12" s="66"/>
      <c r="M12" s="14"/>
      <c r="N12" s="4"/>
      <c r="R12" s="22">
        <v>2016</v>
      </c>
      <c r="S12" s="6">
        <v>856</v>
      </c>
      <c r="T12" s="6">
        <v>5157</v>
      </c>
      <c r="U12" s="6">
        <v>1093</v>
      </c>
      <c r="V12" s="6">
        <v>1578</v>
      </c>
      <c r="W12" s="27">
        <v>2058</v>
      </c>
      <c r="Z12" s="52">
        <v>1946</v>
      </c>
      <c r="AA12" s="1">
        <v>66</v>
      </c>
      <c r="AB12" s="53">
        <v>0.08</v>
      </c>
    </row>
    <row r="13" spans="1:28" x14ac:dyDescent="0.25">
      <c r="A13" s="4"/>
      <c r="B13" s="15"/>
      <c r="C13" s="3"/>
      <c r="D13" s="4"/>
      <c r="E13" s="4"/>
      <c r="F13" s="4"/>
      <c r="G13" s="4"/>
      <c r="H13" s="38"/>
      <c r="I13" s="62" t="s">
        <v>54</v>
      </c>
      <c r="J13" s="98" t="str">
        <f>IF(RIGHT($J$17,3)="mo.",LEFT($J$17,2)-4&amp;RIGHT($J$17,8),LEFT($J$17,2)-4)</f>
        <v>62 + 6 mo.</v>
      </c>
      <c r="K13" s="93">
        <f>K17*0.75</f>
        <v>1958.3924999999999</v>
      </c>
      <c r="L13" s="66"/>
      <c r="M13" s="14"/>
      <c r="N13" s="4"/>
      <c r="R13" s="22">
        <v>2017</v>
      </c>
      <c r="S13" s="6">
        <v>885</v>
      </c>
      <c r="T13" s="6">
        <v>5336</v>
      </c>
      <c r="U13" s="6">
        <v>1131</v>
      </c>
      <c r="V13" s="6">
        <v>1633</v>
      </c>
      <c r="W13" s="27">
        <v>2130</v>
      </c>
      <c r="Z13" s="52">
        <v>1947</v>
      </c>
      <c r="AA13" s="1">
        <v>66</v>
      </c>
      <c r="AB13" s="53">
        <v>0.08</v>
      </c>
    </row>
    <row r="14" spans="1:28" x14ac:dyDescent="0.25">
      <c r="A14" s="4"/>
      <c r="B14" s="15"/>
      <c r="C14" s="3"/>
      <c r="D14" s="89" t="s">
        <v>93</v>
      </c>
      <c r="E14" s="57"/>
      <c r="F14" s="57"/>
      <c r="G14" s="118">
        <v>7500</v>
      </c>
      <c r="H14" s="4"/>
      <c r="I14" s="62" t="s">
        <v>55</v>
      </c>
      <c r="J14" s="98" t="str">
        <f>IF(RIGHT($J$17,3)="mo.",LEFT($J$17,2)-3&amp;RIGHT($J$17,8),LEFT($J$17,2)-3)</f>
        <v>63 + 6 mo.</v>
      </c>
      <c r="K14" s="93">
        <f>K17*0.8</f>
        <v>2088.9520000000002</v>
      </c>
      <c r="L14" s="66"/>
      <c r="M14" s="14"/>
      <c r="N14" s="4"/>
      <c r="R14" s="23">
        <v>2018</v>
      </c>
      <c r="S14" s="6">
        <v>895</v>
      </c>
      <c r="T14" s="6">
        <v>5397</v>
      </c>
      <c r="U14" s="6">
        <v>1144</v>
      </c>
      <c r="V14" s="6">
        <v>1651</v>
      </c>
      <c r="W14" s="27">
        <v>2154</v>
      </c>
      <c r="Z14" s="52">
        <v>1948</v>
      </c>
      <c r="AA14" s="1">
        <v>66</v>
      </c>
      <c r="AB14" s="53">
        <v>0.08</v>
      </c>
    </row>
    <row r="15" spans="1:28" x14ac:dyDescent="0.25">
      <c r="A15" s="4"/>
      <c r="B15" s="15"/>
      <c r="C15" s="3"/>
      <c r="D15" s="62" t="s">
        <v>92</v>
      </c>
      <c r="E15" s="80" t="s">
        <v>94</v>
      </c>
      <c r="F15" s="70" t="s">
        <v>35</v>
      </c>
      <c r="G15" s="81" t="s">
        <v>36</v>
      </c>
      <c r="H15" s="37"/>
      <c r="I15" s="62" t="s">
        <v>56</v>
      </c>
      <c r="J15" s="98" t="str">
        <f>IF(RIGHT($J$17,3)="mo.",LEFT($J$17,2)-2&amp;RIGHT($J$17,8),LEFT($J$17,2)-2)</f>
        <v>64 + 6 mo.</v>
      </c>
      <c r="K15" s="94">
        <f>K17*(1-0.133333)</f>
        <v>2263.0322037299998</v>
      </c>
      <c r="L15" s="66"/>
      <c r="M15" s="14"/>
      <c r="N15" s="4"/>
      <c r="Q15" s="117"/>
      <c r="R15" s="23">
        <v>2019</v>
      </c>
      <c r="S15" s="6">
        <v>926</v>
      </c>
      <c r="T15" s="6">
        <v>5583</v>
      </c>
      <c r="U15" s="6">
        <v>1184</v>
      </c>
      <c r="V15" s="6">
        <v>1708</v>
      </c>
      <c r="W15" s="27">
        <v>2228</v>
      </c>
      <c r="Z15" s="52">
        <v>1949</v>
      </c>
      <c r="AA15" s="1">
        <v>66</v>
      </c>
      <c r="AB15" s="53">
        <v>0.08</v>
      </c>
    </row>
    <row r="16" spans="1:28" x14ac:dyDescent="0.25">
      <c r="A16" s="4"/>
      <c r="B16" s="15"/>
      <c r="C16" s="3"/>
      <c r="D16" s="43">
        <v>0.9</v>
      </c>
      <c r="E16" s="7">
        <f>VLOOKUP($E$10,BendPoints,2,FALSE)</f>
        <v>926</v>
      </c>
      <c r="F16" s="7">
        <f>IF($G$14&lt;VLOOKUP($E$10,BendPoints,2,FALSE),G14,VLOOKUP($E$10,BendPoints,2,FALSE))</f>
        <v>926</v>
      </c>
      <c r="G16" s="9">
        <f>F16*D16</f>
        <v>833.4</v>
      </c>
      <c r="H16" s="37"/>
      <c r="I16" s="62" t="s">
        <v>61</v>
      </c>
      <c r="J16" s="98" t="str">
        <f>IF(RIGHT($J$17,3)="mo.",LEFT($J$17,2)-1&amp;RIGHT($J$17,8),LEFT($J$17,2)-1)</f>
        <v>65 + 6 mo.</v>
      </c>
      <c r="K16" s="94">
        <f>K17*(1-0.066666)</f>
        <v>2437.1124074600002</v>
      </c>
      <c r="L16" s="66"/>
      <c r="M16" s="14"/>
      <c r="N16" s="4"/>
      <c r="Q16" s="117"/>
      <c r="R16" s="131">
        <v>2020</v>
      </c>
      <c r="W16" s="132"/>
      <c r="Z16" s="52">
        <v>1950</v>
      </c>
      <c r="AA16" s="1">
        <v>66</v>
      </c>
      <c r="AB16" s="53">
        <v>0.08</v>
      </c>
    </row>
    <row r="17" spans="1:28" ht="15.75" thickBot="1" x14ac:dyDescent="0.3">
      <c r="A17" s="4"/>
      <c r="B17" s="15"/>
      <c r="C17" s="3"/>
      <c r="D17" s="43">
        <v>0.32</v>
      </c>
      <c r="E17" s="7">
        <f>VLOOKUP($E$10,BendPoints,3,FALSE)</f>
        <v>5583</v>
      </c>
      <c r="F17" s="7">
        <f>IF(E17=0,0,IF(G14&gt;E17,E17-F16,G14-F16))</f>
        <v>4657</v>
      </c>
      <c r="G17" s="9">
        <f>D17*F17</f>
        <v>1490.24</v>
      </c>
      <c r="H17" s="38"/>
      <c r="I17" s="62" t="s">
        <v>1</v>
      </c>
      <c r="J17" s="98" t="str">
        <f>G10</f>
        <v>66 + 6 mo.</v>
      </c>
      <c r="K17" s="94">
        <f>G20</f>
        <v>2611.19</v>
      </c>
      <c r="L17" s="66"/>
      <c r="M17" s="14"/>
      <c r="N17" s="4"/>
      <c r="Q17" s="117"/>
      <c r="R17" s="24">
        <v>2021</v>
      </c>
      <c r="S17" s="25"/>
      <c r="T17" s="25"/>
      <c r="U17" s="25"/>
      <c r="V17" s="25"/>
      <c r="W17" s="26"/>
      <c r="Z17" s="52">
        <v>1951</v>
      </c>
      <c r="AA17" s="1">
        <v>66</v>
      </c>
      <c r="AB17" s="53">
        <v>0.08</v>
      </c>
    </row>
    <row r="18" spans="1:28" x14ac:dyDescent="0.25">
      <c r="A18" s="4"/>
      <c r="B18" s="15"/>
      <c r="C18" s="3"/>
      <c r="D18" s="44">
        <v>0.15</v>
      </c>
      <c r="E18" s="8"/>
      <c r="F18" s="8">
        <f>IF(E17=0,0,IF(G14&gt;E17,G14-E17,0))</f>
        <v>1917</v>
      </c>
      <c r="G18" s="11">
        <f>IF(F18=0,0,(D18*(G14-E17)))</f>
        <v>287.55</v>
      </c>
      <c r="H18" s="38"/>
      <c r="I18" s="62" t="s">
        <v>57</v>
      </c>
      <c r="J18" s="98" t="str">
        <f>IF(RIGHT($J$17,3)="mo.",LEFT($J$17,2)+1&amp;RIGHT($J$17,8),LEFT($J$17,2)+1)</f>
        <v>67 + 6 mo.</v>
      </c>
      <c r="K18" s="94">
        <f>K17*(1+G11)</f>
        <v>2820.0852000000004</v>
      </c>
      <c r="L18" s="66"/>
      <c r="M18" s="14"/>
      <c r="N18" s="4"/>
      <c r="Q18" s="117"/>
      <c r="Z18" s="52">
        <v>1952</v>
      </c>
      <c r="AA18" s="1">
        <v>66</v>
      </c>
      <c r="AB18" s="53">
        <v>0.08</v>
      </c>
    </row>
    <row r="19" spans="1:28" ht="15.75" thickBot="1" x14ac:dyDescent="0.3">
      <c r="A19" s="4"/>
      <c r="B19" s="15"/>
      <c r="C19" s="3"/>
      <c r="D19" s="40"/>
      <c r="E19" s="4"/>
      <c r="F19" s="4"/>
      <c r="G19" s="2"/>
      <c r="H19" s="38"/>
      <c r="I19" s="62" t="s">
        <v>58</v>
      </c>
      <c r="J19" s="98" t="str">
        <f>IF(RIGHT($J$17,3)="mo.",LEFT($J$17,2)+2&amp;RIGHT($J$17,8),LEFT($J$17,2)+2)</f>
        <v>68 + 6 mo.</v>
      </c>
      <c r="K19" s="94">
        <f>K17*(1+(2*G11))</f>
        <v>3028.9803999999999</v>
      </c>
      <c r="L19" s="66"/>
      <c r="M19" s="14"/>
      <c r="N19" s="117"/>
      <c r="P19" s="117"/>
      <c r="Q19" s="117"/>
      <c r="Z19" s="52">
        <v>1953</v>
      </c>
      <c r="AA19" s="1">
        <v>66</v>
      </c>
      <c r="AB19" s="53">
        <v>0.08</v>
      </c>
    </row>
    <row r="20" spans="1:28" ht="15.75" thickBot="1" x14ac:dyDescent="0.3">
      <c r="A20" s="4"/>
      <c r="B20" s="15"/>
      <c r="C20" s="3"/>
      <c r="D20" s="35" t="str">
        <f>IF(G12="Yes","Spouse's Benefit (50% Workers PIA)","Worker's Primary Insur. Amt.  (PIA)")</f>
        <v>Worker's Primary Insur. Amt.  (PIA)</v>
      </c>
      <c r="E20" s="36"/>
      <c r="F20" s="36"/>
      <c r="G20" s="47">
        <f>IF(G12="Yes",(G18+G17+G16)*0.5,G18+G17+G16)</f>
        <v>2611.19</v>
      </c>
      <c r="H20" s="38"/>
      <c r="I20" s="63" t="s">
        <v>59</v>
      </c>
      <c r="J20" s="109" t="str">
        <f>IF(RIGHT($J$17,3)="mo.",LEFT($J$17,2)+3&amp;RIGHT($J$17,8),LEFT($J$17,2)+3)</f>
        <v>69 + 6 mo.</v>
      </c>
      <c r="K20" s="95">
        <f>K17*(1+(3*G11))</f>
        <v>3237.8755999999998</v>
      </c>
      <c r="L20" s="65"/>
      <c r="M20" s="14"/>
      <c r="N20" s="117"/>
      <c r="O20" s="251"/>
      <c r="P20" s="117"/>
      <c r="Q20" s="117"/>
      <c r="Z20" s="52">
        <v>1954</v>
      </c>
      <c r="AA20" s="1">
        <v>66</v>
      </c>
      <c r="AB20" s="53">
        <v>0.08</v>
      </c>
    </row>
    <row r="21" spans="1:28" x14ac:dyDescent="0.25">
      <c r="A21" s="4"/>
      <c r="B21" s="15"/>
      <c r="C21" s="54"/>
      <c r="D21" s="58"/>
      <c r="E21" s="58"/>
      <c r="F21" s="58"/>
      <c r="G21" s="58"/>
      <c r="H21" s="58"/>
      <c r="I21" s="58"/>
      <c r="J21" s="58"/>
      <c r="K21" s="58"/>
      <c r="L21" s="73"/>
      <c r="M21" s="14"/>
      <c r="N21" s="117"/>
      <c r="P21" s="117"/>
      <c r="Q21" s="117"/>
      <c r="Z21" s="52">
        <v>1955</v>
      </c>
      <c r="AA21" s="1" t="s">
        <v>64</v>
      </c>
      <c r="AB21" s="53">
        <v>0.08</v>
      </c>
    </row>
    <row r="22" spans="1:28" x14ac:dyDescent="0.25">
      <c r="A22" s="4"/>
      <c r="B22" s="1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4"/>
      <c r="N22" s="117"/>
      <c r="P22" s="117"/>
      <c r="Q22" s="117"/>
      <c r="Z22" s="52">
        <v>1956</v>
      </c>
      <c r="AA22" s="1" t="s">
        <v>66</v>
      </c>
      <c r="AB22" s="53">
        <v>0.08</v>
      </c>
    </row>
    <row r="23" spans="1:28" x14ac:dyDescent="0.25">
      <c r="A23" s="4"/>
      <c r="B23" s="15"/>
      <c r="C23" s="49"/>
      <c r="D23" s="50"/>
      <c r="E23" s="50"/>
      <c r="F23" s="50"/>
      <c r="G23" s="50"/>
      <c r="H23" s="50"/>
      <c r="I23" s="50"/>
      <c r="J23" s="50"/>
      <c r="K23" s="50"/>
      <c r="L23" s="71"/>
      <c r="M23" s="14"/>
      <c r="N23" s="117"/>
      <c r="P23" s="117"/>
      <c r="Q23" s="117"/>
      <c r="Z23" s="52">
        <v>1957</v>
      </c>
      <c r="AA23" s="1" t="s">
        <v>65</v>
      </c>
      <c r="AB23" s="53">
        <v>0.08</v>
      </c>
    </row>
    <row r="24" spans="1:28" ht="15.75" x14ac:dyDescent="0.25">
      <c r="A24" s="4"/>
      <c r="B24" s="15"/>
      <c r="C24" s="3"/>
      <c r="D24" s="230" t="s">
        <v>106</v>
      </c>
      <c r="E24" s="228"/>
      <c r="F24" s="228"/>
      <c r="G24" s="228"/>
      <c r="H24" s="228"/>
      <c r="I24" s="228"/>
      <c r="J24" s="228"/>
      <c r="K24" s="231"/>
      <c r="L24" s="67"/>
      <c r="M24" s="16"/>
      <c r="N24" s="117"/>
      <c r="P24" s="117"/>
      <c r="Q24" s="117"/>
      <c r="Z24" s="52">
        <v>1958</v>
      </c>
      <c r="AA24" s="1" t="s">
        <v>67</v>
      </c>
      <c r="AB24" s="53">
        <v>0.08</v>
      </c>
    </row>
    <row r="25" spans="1:28" x14ac:dyDescent="0.25">
      <c r="A25" s="4"/>
      <c r="B25" s="15"/>
      <c r="C25" s="3"/>
      <c r="D25" s="222" t="str">
        <f>"Using Bend Points for "&amp;E10</f>
        <v>Using Bend Points for 2019</v>
      </c>
      <c r="E25" s="223"/>
      <c r="F25" s="223"/>
      <c r="G25" s="223"/>
      <c r="H25" s="223"/>
      <c r="I25" s="223"/>
      <c r="J25" s="223"/>
      <c r="K25" s="224"/>
      <c r="L25" s="67"/>
      <c r="M25" s="16"/>
      <c r="N25" s="117"/>
      <c r="P25" s="117"/>
      <c r="Q25" s="117"/>
      <c r="Z25" s="52">
        <v>1959</v>
      </c>
      <c r="AA25" s="1" t="s">
        <v>68</v>
      </c>
      <c r="AB25" s="53">
        <v>0.08</v>
      </c>
    </row>
    <row r="26" spans="1:28" x14ac:dyDescent="0.25">
      <c r="A26" s="4"/>
      <c r="B26" s="15"/>
      <c r="C26" s="3"/>
      <c r="D26" s="4"/>
      <c r="E26" s="4"/>
      <c r="F26" s="4"/>
      <c r="G26" s="4"/>
      <c r="H26" s="4"/>
      <c r="I26" s="4"/>
      <c r="J26" s="4"/>
      <c r="K26" s="4"/>
      <c r="L26" s="67"/>
      <c r="M26" s="16"/>
      <c r="N26" s="117"/>
      <c r="O26" s="117"/>
      <c r="P26" s="117"/>
      <c r="Z26" s="52">
        <v>1960</v>
      </c>
      <c r="AA26" s="1">
        <v>67</v>
      </c>
      <c r="AB26" s="53">
        <v>0.08</v>
      </c>
    </row>
    <row r="27" spans="1:28" x14ac:dyDescent="0.25">
      <c r="A27" s="4"/>
      <c r="B27" s="15"/>
      <c r="C27" s="3"/>
      <c r="D27" s="45" t="s">
        <v>49</v>
      </c>
      <c r="E27" s="46"/>
      <c r="F27" s="46"/>
      <c r="G27" s="48">
        <f>IF(G12="Yes",G20*2,G20)</f>
        <v>2611.19</v>
      </c>
      <c r="H27" s="38"/>
      <c r="I27" s="112" t="s">
        <v>75</v>
      </c>
      <c r="J27" s="113"/>
      <c r="K27" s="113"/>
      <c r="L27" s="67"/>
      <c r="M27" s="16"/>
      <c r="N27" s="117"/>
      <c r="O27" s="117"/>
      <c r="P27" s="117"/>
      <c r="Z27" s="52">
        <v>1961</v>
      </c>
      <c r="AA27" s="1">
        <v>67</v>
      </c>
      <c r="AB27" s="53">
        <v>0.08</v>
      </c>
    </row>
    <row r="28" spans="1:28" x14ac:dyDescent="0.25">
      <c r="A28" s="4"/>
      <c r="B28" s="15"/>
      <c r="C28" s="3"/>
      <c r="D28" s="61" t="s">
        <v>92</v>
      </c>
      <c r="E28" s="86" t="s">
        <v>94</v>
      </c>
      <c r="F28" s="87" t="s">
        <v>35</v>
      </c>
      <c r="G28" s="88" t="s">
        <v>36</v>
      </c>
      <c r="H28" s="38"/>
      <c r="I28" s="114" t="s">
        <v>124</v>
      </c>
      <c r="J28" s="115"/>
      <c r="K28" s="116"/>
      <c r="L28" s="67"/>
      <c r="M28" s="16"/>
      <c r="N28" s="117"/>
      <c r="O28" s="117"/>
      <c r="P28" s="117"/>
      <c r="S28" s="1">
        <v>60000</v>
      </c>
      <c r="T28" s="1" t="s">
        <v>135</v>
      </c>
      <c r="Z28" s="52">
        <v>1962</v>
      </c>
      <c r="AA28" s="1">
        <v>67</v>
      </c>
      <c r="AB28" s="53">
        <v>0.08</v>
      </c>
    </row>
    <row r="29" spans="1:28" x14ac:dyDescent="0.25">
      <c r="A29" s="4"/>
      <c r="B29" s="15"/>
      <c r="C29" s="3"/>
      <c r="D29" s="43">
        <v>1.5</v>
      </c>
      <c r="E29" s="7">
        <f>VLOOKUP($E$10,BendPoints,4,FALSE)</f>
        <v>1184</v>
      </c>
      <c r="F29" s="7">
        <f>IF($G$27&lt;E29,G27,E29)</f>
        <v>1184</v>
      </c>
      <c r="G29" s="9">
        <f>D29*F29</f>
        <v>1776</v>
      </c>
      <c r="H29" s="39"/>
      <c r="I29" s="103" t="s">
        <v>102</v>
      </c>
      <c r="J29" s="101"/>
      <c r="K29" s="102"/>
      <c r="L29" s="67"/>
      <c r="M29" s="16"/>
      <c r="N29" s="4"/>
      <c r="O29" s="117"/>
      <c r="P29" s="117"/>
      <c r="S29" s="1">
        <v>0.17</v>
      </c>
      <c r="Z29" s="52">
        <v>1963</v>
      </c>
      <c r="AA29" s="1">
        <v>67</v>
      </c>
      <c r="AB29" s="53">
        <v>0.08</v>
      </c>
    </row>
    <row r="30" spans="1:28" x14ac:dyDescent="0.25">
      <c r="A30" s="4"/>
      <c r="B30" s="15"/>
      <c r="C30" s="3"/>
      <c r="D30" s="43">
        <v>2.72</v>
      </c>
      <c r="E30" s="7">
        <f>VLOOKUP($E$10,BendPoints,5,FALSE)</f>
        <v>1708</v>
      </c>
      <c r="F30" s="7">
        <f>IF(AND(G27&gt;E29,G27&lt;E30),G27-E29,IF($G$27&gt;E30,E30-E29,0))</f>
        <v>524</v>
      </c>
      <c r="G30" s="9">
        <f>D30*F30</f>
        <v>1425.2800000000002</v>
      </c>
      <c r="H30" s="39"/>
      <c r="I30" s="4"/>
      <c r="J30" s="4"/>
      <c r="K30" s="4"/>
      <c r="L30" s="67"/>
      <c r="M30" s="16"/>
      <c r="N30" s="4"/>
      <c r="S30" s="1">
        <f>S28*(1+S29)</f>
        <v>70200</v>
      </c>
      <c r="T30" s="1">
        <f>S30/12</f>
        <v>5850</v>
      </c>
      <c r="Z30" s="52">
        <v>1964</v>
      </c>
      <c r="AA30" s="1">
        <v>67</v>
      </c>
      <c r="AB30" s="53">
        <v>0.08</v>
      </c>
    </row>
    <row r="31" spans="1:28" x14ac:dyDescent="0.25">
      <c r="A31" s="4"/>
      <c r="B31" s="15"/>
      <c r="C31" s="3"/>
      <c r="D31" s="43">
        <v>1.34</v>
      </c>
      <c r="E31" s="7">
        <f>VLOOKUP($E$10,BendPoints,6,FALSE)</f>
        <v>2228</v>
      </c>
      <c r="F31" s="10">
        <f>IF(G27&lt;E31,0,E31-E30)</f>
        <v>520</v>
      </c>
      <c r="G31" s="9">
        <f>D31*F31</f>
        <v>696.80000000000007</v>
      </c>
      <c r="H31" s="38"/>
      <c r="I31" s="112" t="s">
        <v>99</v>
      </c>
      <c r="J31" s="4"/>
      <c r="K31" s="4"/>
      <c r="L31" s="67"/>
      <c r="M31" s="16"/>
      <c r="N31" s="4"/>
      <c r="R31" s="1" t="s">
        <v>136</v>
      </c>
      <c r="T31" s="1">
        <v>2000</v>
      </c>
      <c r="Z31" s="52">
        <v>1965</v>
      </c>
      <c r="AA31" s="1">
        <v>67</v>
      </c>
      <c r="AB31" s="53">
        <v>0.08</v>
      </c>
    </row>
    <row r="32" spans="1:28" x14ac:dyDescent="0.25">
      <c r="A32" s="4"/>
      <c r="B32" s="15"/>
      <c r="C32" s="3"/>
      <c r="D32" s="44">
        <v>1.75</v>
      </c>
      <c r="E32" s="8">
        <f>IF(G27&gt;E31,G27,0)</f>
        <v>2611.19</v>
      </c>
      <c r="F32" s="8">
        <f>IF(E32=0,0,E32-E31)</f>
        <v>383.19000000000005</v>
      </c>
      <c r="G32" s="11">
        <f>F32*D32</f>
        <v>670.5825000000001</v>
      </c>
      <c r="H32" s="38"/>
      <c r="I32" s="107" t="s">
        <v>100</v>
      </c>
      <c r="J32" s="90"/>
      <c r="K32" s="92">
        <f>IF(G12="Yes",2*G20*0.75,G20*0.75)</f>
        <v>1958.3924999999999</v>
      </c>
      <c r="L32" s="67"/>
      <c r="M32" s="16"/>
      <c r="N32" s="4"/>
      <c r="R32" s="1" t="s">
        <v>137</v>
      </c>
      <c r="T32" s="1">
        <v>2000</v>
      </c>
      <c r="Z32" s="52">
        <v>1966</v>
      </c>
      <c r="AA32" s="1">
        <v>67</v>
      </c>
      <c r="AB32" s="53">
        <v>0.08</v>
      </c>
    </row>
    <row r="33" spans="1:28" ht="15.75" thickBot="1" x14ac:dyDescent="0.3">
      <c r="A33" s="4"/>
      <c r="B33" s="15"/>
      <c r="C33" s="52"/>
      <c r="D33" s="4"/>
      <c r="E33" s="4"/>
      <c r="F33" s="4"/>
      <c r="G33" s="4"/>
      <c r="I33" s="108" t="s">
        <v>107</v>
      </c>
      <c r="J33" s="4"/>
      <c r="K33" s="96">
        <f>IF(G34-K32&lt;K32,G34-K32,K32)</f>
        <v>1958.3924999999999</v>
      </c>
      <c r="L33" s="67"/>
      <c r="M33" s="16"/>
      <c r="N33" s="4"/>
      <c r="T33" s="55">
        <f>T30-T31-T32</f>
        <v>1850</v>
      </c>
      <c r="Z33" s="52">
        <v>1967</v>
      </c>
      <c r="AA33" s="1">
        <v>67</v>
      </c>
      <c r="AB33" s="53">
        <v>0.08</v>
      </c>
    </row>
    <row r="34" spans="1:28" ht="15.75" thickBot="1" x14ac:dyDescent="0.3">
      <c r="A34" s="4"/>
      <c r="B34" s="15"/>
      <c r="C34" s="3"/>
      <c r="D34" s="35" t="s">
        <v>45</v>
      </c>
      <c r="E34" s="36"/>
      <c r="F34" s="36"/>
      <c r="G34" s="47">
        <f>G31+G30+G29+G32</f>
        <v>4568.6625000000004</v>
      </c>
      <c r="H34" s="38"/>
      <c r="I34" s="32" t="s">
        <v>101</v>
      </c>
      <c r="J34" s="91"/>
      <c r="K34" s="97">
        <f>G34-K33-K32</f>
        <v>651.87750000000051</v>
      </c>
      <c r="L34" s="67"/>
      <c r="M34" s="16"/>
      <c r="N34" s="4"/>
      <c r="Z34" s="52">
        <v>1968</v>
      </c>
      <c r="AA34" s="1">
        <v>67</v>
      </c>
      <c r="AB34" s="53">
        <v>0.08</v>
      </c>
    </row>
    <row r="35" spans="1:28" x14ac:dyDescent="0.25">
      <c r="A35" s="4"/>
      <c r="B35" s="15"/>
      <c r="C35" s="42"/>
      <c r="D35" s="58"/>
      <c r="E35" s="58"/>
      <c r="F35" s="58"/>
      <c r="G35" s="58"/>
      <c r="H35" s="58"/>
      <c r="I35" s="58"/>
      <c r="J35" s="58"/>
      <c r="K35" s="55"/>
      <c r="L35" s="68"/>
      <c r="M35" s="14"/>
      <c r="N35" s="4"/>
      <c r="O35" s="252"/>
      <c r="Z35" s="52">
        <v>1969</v>
      </c>
      <c r="AA35" s="1">
        <v>67</v>
      </c>
      <c r="AB35" s="53">
        <v>0.08</v>
      </c>
    </row>
    <row r="36" spans="1:28" ht="15.75" thickBot="1" x14ac:dyDescent="0.3">
      <c r="A36" s="4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4"/>
      <c r="Q36" s="40">
        <v>0.04</v>
      </c>
      <c r="T36" s="215">
        <f>PV(Q36/12,Q37*12,-T33,,)</f>
        <v>387503.29484026163</v>
      </c>
      <c r="Z36" s="52">
        <v>1970</v>
      </c>
      <c r="AA36" s="1">
        <v>67</v>
      </c>
      <c r="AB36" s="53">
        <v>0.08</v>
      </c>
    </row>
    <row r="37" spans="1:28" x14ac:dyDescent="0.25">
      <c r="B37" s="4"/>
      <c r="C37" s="4"/>
      <c r="D37" s="4" t="s">
        <v>46</v>
      </c>
      <c r="E37" s="4"/>
      <c r="F37" s="4"/>
      <c r="G37" s="4"/>
      <c r="H37" s="4"/>
      <c r="I37" s="4"/>
      <c r="J37" s="4"/>
      <c r="K37" s="4"/>
      <c r="L37" s="4"/>
      <c r="M37" s="4"/>
      <c r="Q37" s="4">
        <v>30</v>
      </c>
      <c r="Z37" s="52">
        <v>1971</v>
      </c>
      <c r="AA37" s="1">
        <v>67</v>
      </c>
      <c r="AB37" s="53">
        <v>0.08</v>
      </c>
    </row>
    <row r="38" spans="1:28" x14ac:dyDescent="0.25">
      <c r="Z38" s="52">
        <v>1972</v>
      </c>
      <c r="AA38" s="1">
        <v>67</v>
      </c>
      <c r="AB38" s="53">
        <v>0.08</v>
      </c>
    </row>
    <row r="39" spans="1:28" x14ac:dyDescent="0.25">
      <c r="Z39" s="52">
        <v>1973</v>
      </c>
      <c r="AA39" s="1">
        <v>67</v>
      </c>
      <c r="AB39" s="53">
        <v>0.08</v>
      </c>
    </row>
    <row r="40" spans="1:28" x14ac:dyDescent="0.25">
      <c r="Z40" s="52">
        <v>1974</v>
      </c>
      <c r="AA40" s="1">
        <v>67</v>
      </c>
      <c r="AB40" s="53">
        <v>0.08</v>
      </c>
    </row>
    <row r="41" spans="1:28" x14ac:dyDescent="0.25">
      <c r="I41" s="4"/>
      <c r="Z41" s="52">
        <v>1975</v>
      </c>
      <c r="AA41" s="1">
        <v>67</v>
      </c>
      <c r="AB41" s="53">
        <v>0.08</v>
      </c>
    </row>
    <row r="42" spans="1:28" x14ac:dyDescent="0.25">
      <c r="I42" s="4"/>
      <c r="Z42" s="52">
        <v>1976</v>
      </c>
      <c r="AA42" s="1">
        <v>67</v>
      </c>
      <c r="AB42" s="53">
        <v>0.08</v>
      </c>
    </row>
    <row r="43" spans="1:28" x14ac:dyDescent="0.25">
      <c r="I43" s="4"/>
      <c r="Z43" s="52">
        <v>1977</v>
      </c>
      <c r="AA43" s="1">
        <v>67</v>
      </c>
      <c r="AB43" s="53">
        <v>0.08</v>
      </c>
    </row>
    <row r="44" spans="1:28" x14ac:dyDescent="0.25">
      <c r="I44" s="4"/>
      <c r="Z44" s="52">
        <v>1978</v>
      </c>
      <c r="AA44" s="1">
        <v>67</v>
      </c>
      <c r="AB44" s="53">
        <v>0.08</v>
      </c>
    </row>
    <row r="45" spans="1:28" x14ac:dyDescent="0.25">
      <c r="I45" s="4"/>
      <c r="Z45" s="52">
        <v>1979</v>
      </c>
      <c r="AA45" s="1">
        <v>67</v>
      </c>
      <c r="AB45" s="53">
        <v>0.08</v>
      </c>
    </row>
    <row r="46" spans="1:28" x14ac:dyDescent="0.25">
      <c r="Z46" s="52">
        <v>1980</v>
      </c>
      <c r="AA46" s="1">
        <v>67</v>
      </c>
      <c r="AB46" s="53">
        <v>0.08</v>
      </c>
    </row>
    <row r="47" spans="1:28" x14ac:dyDescent="0.25">
      <c r="Z47" s="52">
        <v>1981</v>
      </c>
      <c r="AA47" s="1">
        <v>67</v>
      </c>
      <c r="AB47" s="53">
        <v>0.08</v>
      </c>
    </row>
    <row r="48" spans="1:28" x14ac:dyDescent="0.25">
      <c r="Z48" s="52">
        <v>1982</v>
      </c>
      <c r="AA48" s="1">
        <v>67</v>
      </c>
      <c r="AB48" s="53">
        <v>0.08</v>
      </c>
    </row>
    <row r="49" spans="26:28" x14ac:dyDescent="0.25">
      <c r="Z49" s="52">
        <v>1983</v>
      </c>
      <c r="AA49" s="1">
        <v>67</v>
      </c>
      <c r="AB49" s="53">
        <v>0.08</v>
      </c>
    </row>
    <row r="50" spans="26:28" x14ac:dyDescent="0.25">
      <c r="Z50" s="52">
        <v>1984</v>
      </c>
      <c r="AA50" s="1">
        <v>67</v>
      </c>
      <c r="AB50" s="53">
        <v>0.08</v>
      </c>
    </row>
    <row r="51" spans="26:28" x14ac:dyDescent="0.25">
      <c r="Z51" s="52">
        <v>1985</v>
      </c>
      <c r="AA51" s="1">
        <v>67</v>
      </c>
      <c r="AB51" s="53">
        <v>0.08</v>
      </c>
    </row>
    <row r="52" spans="26:28" x14ac:dyDescent="0.25">
      <c r="Z52" s="52">
        <v>1986</v>
      </c>
      <c r="AA52" s="1">
        <v>67</v>
      </c>
      <c r="AB52" s="53">
        <v>0.08</v>
      </c>
    </row>
    <row r="53" spans="26:28" x14ac:dyDescent="0.25">
      <c r="Z53" s="52">
        <v>1987</v>
      </c>
      <c r="AA53" s="1">
        <v>67</v>
      </c>
      <c r="AB53" s="53">
        <v>0.08</v>
      </c>
    </row>
    <row r="54" spans="26:28" x14ac:dyDescent="0.25">
      <c r="Z54" s="52">
        <v>1988</v>
      </c>
      <c r="AA54" s="1">
        <v>67</v>
      </c>
      <c r="AB54" s="53">
        <v>0.08</v>
      </c>
    </row>
    <row r="55" spans="26:28" x14ac:dyDescent="0.25">
      <c r="Z55" s="52">
        <v>1989</v>
      </c>
      <c r="AA55" s="1">
        <v>67</v>
      </c>
      <c r="AB55" s="53">
        <v>0.08</v>
      </c>
    </row>
    <row r="56" spans="26:28" x14ac:dyDescent="0.25">
      <c r="Z56" s="52">
        <v>1990</v>
      </c>
      <c r="AA56" s="1">
        <v>67</v>
      </c>
      <c r="AB56" s="53">
        <v>0.08</v>
      </c>
    </row>
    <row r="57" spans="26:28" x14ac:dyDescent="0.25">
      <c r="Z57" s="52">
        <v>1991</v>
      </c>
      <c r="AA57" s="1">
        <v>67</v>
      </c>
      <c r="AB57" s="53">
        <v>0.08</v>
      </c>
    </row>
    <row r="58" spans="26:28" x14ac:dyDescent="0.25">
      <c r="Z58" s="52">
        <v>1992</v>
      </c>
      <c r="AA58" s="1">
        <v>67</v>
      </c>
      <c r="AB58" s="53">
        <v>0.08</v>
      </c>
    </row>
    <row r="59" spans="26:28" x14ac:dyDescent="0.25">
      <c r="Z59" s="52">
        <v>1993</v>
      </c>
      <c r="AA59" s="1">
        <v>67</v>
      </c>
      <c r="AB59" s="53">
        <v>0.08</v>
      </c>
    </row>
    <row r="60" spans="26:28" x14ac:dyDescent="0.25">
      <c r="Z60" s="52">
        <v>1994</v>
      </c>
      <c r="AA60" s="1">
        <v>67</v>
      </c>
      <c r="AB60" s="53">
        <v>0.08</v>
      </c>
    </row>
    <row r="61" spans="26:28" x14ac:dyDescent="0.25">
      <c r="Z61" s="52">
        <v>1995</v>
      </c>
      <c r="AA61" s="1">
        <v>67</v>
      </c>
      <c r="AB61" s="53">
        <v>0.08</v>
      </c>
    </row>
    <row r="62" spans="26:28" x14ac:dyDescent="0.25">
      <c r="Z62" s="52">
        <v>1996</v>
      </c>
      <c r="AA62" s="1">
        <v>67</v>
      </c>
      <c r="AB62" s="53">
        <v>0.08</v>
      </c>
    </row>
    <row r="63" spans="26:28" x14ac:dyDescent="0.25">
      <c r="Z63" s="52">
        <v>1997</v>
      </c>
      <c r="AA63" s="1">
        <v>67</v>
      </c>
      <c r="AB63" s="53">
        <v>0.08</v>
      </c>
    </row>
    <row r="64" spans="26:28" x14ac:dyDescent="0.25">
      <c r="Z64" s="52">
        <v>1998</v>
      </c>
      <c r="AA64" s="1">
        <v>67</v>
      </c>
      <c r="AB64" s="53">
        <v>0.08</v>
      </c>
    </row>
    <row r="65" spans="26:28" x14ac:dyDescent="0.25">
      <c r="Z65" s="52">
        <v>1999</v>
      </c>
      <c r="AA65" s="1">
        <v>67</v>
      </c>
      <c r="AB65" s="53">
        <v>0.08</v>
      </c>
    </row>
    <row r="66" spans="26:28" x14ac:dyDescent="0.25">
      <c r="Z66" s="52">
        <v>2000</v>
      </c>
      <c r="AA66" s="1">
        <v>67</v>
      </c>
      <c r="AB66" s="53">
        <v>0.08</v>
      </c>
    </row>
    <row r="67" spans="26:28" x14ac:dyDescent="0.25">
      <c r="Z67" s="52">
        <v>2001</v>
      </c>
      <c r="AA67" s="1">
        <v>67</v>
      </c>
      <c r="AB67" s="53">
        <v>0.08</v>
      </c>
    </row>
    <row r="68" spans="26:28" x14ac:dyDescent="0.25">
      <c r="Z68" s="52">
        <v>2002</v>
      </c>
      <c r="AA68" s="1">
        <v>67</v>
      </c>
      <c r="AB68" s="53">
        <v>0.08</v>
      </c>
    </row>
    <row r="69" spans="26:28" x14ac:dyDescent="0.25">
      <c r="Z69" s="52">
        <v>2003</v>
      </c>
      <c r="AA69" s="1">
        <v>67</v>
      </c>
      <c r="AB69" s="53">
        <v>0.08</v>
      </c>
    </row>
    <row r="70" spans="26:28" x14ac:dyDescent="0.25">
      <c r="Z70" s="52">
        <v>2004</v>
      </c>
      <c r="AA70" s="1">
        <v>67</v>
      </c>
      <c r="AB70" s="53">
        <v>0.08</v>
      </c>
    </row>
    <row r="71" spans="26:28" x14ac:dyDescent="0.25">
      <c r="Z71" s="52">
        <v>2005</v>
      </c>
      <c r="AA71" s="1">
        <v>67</v>
      </c>
      <c r="AB71" s="53">
        <v>0.08</v>
      </c>
    </row>
    <row r="72" spans="26:28" x14ac:dyDescent="0.25">
      <c r="Z72" s="52">
        <v>2006</v>
      </c>
      <c r="AA72" s="1">
        <v>67</v>
      </c>
      <c r="AB72" s="53">
        <v>0.08</v>
      </c>
    </row>
    <row r="73" spans="26:28" x14ac:dyDescent="0.25">
      <c r="Z73" s="52">
        <v>2007</v>
      </c>
      <c r="AA73" s="1">
        <v>67</v>
      </c>
      <c r="AB73" s="53">
        <v>0.08</v>
      </c>
    </row>
    <row r="74" spans="26:28" x14ac:dyDescent="0.25">
      <c r="Z74" s="52">
        <v>2008</v>
      </c>
      <c r="AA74" s="1">
        <v>67</v>
      </c>
      <c r="AB74" s="53">
        <v>0.08</v>
      </c>
    </row>
    <row r="75" spans="26:28" x14ac:dyDescent="0.25">
      <c r="Z75" s="52">
        <v>2009</v>
      </c>
      <c r="AA75" s="1">
        <v>67</v>
      </c>
      <c r="AB75" s="53">
        <v>0.08</v>
      </c>
    </row>
    <row r="76" spans="26:28" x14ac:dyDescent="0.25">
      <c r="Z76" s="52">
        <v>2010</v>
      </c>
      <c r="AA76" s="1">
        <v>67</v>
      </c>
      <c r="AB76" s="53">
        <v>0.08</v>
      </c>
    </row>
    <row r="77" spans="26:28" x14ac:dyDescent="0.25">
      <c r="Z77" s="52">
        <v>2011</v>
      </c>
      <c r="AA77" s="1">
        <v>67</v>
      </c>
      <c r="AB77" s="53">
        <v>0.08</v>
      </c>
    </row>
    <row r="78" spans="26:28" x14ac:dyDescent="0.25">
      <c r="Z78" s="54">
        <v>2012</v>
      </c>
      <c r="AA78" s="55">
        <v>67</v>
      </c>
      <c r="AB78" s="56">
        <v>0.08</v>
      </c>
    </row>
  </sheetData>
  <mergeCells count="7">
    <mergeCell ref="D25:K25"/>
    <mergeCell ref="R4:W4"/>
    <mergeCell ref="D2:K2"/>
    <mergeCell ref="D3:K3"/>
    <mergeCell ref="D4:K4"/>
    <mergeCell ref="D24:K24"/>
    <mergeCell ref="C8:L8"/>
  </mergeCells>
  <dataValidations count="3">
    <dataValidation type="list" allowBlank="1" showInputMessage="1" showErrorMessage="1" sqref="E10">
      <formula1>$R$7:$R$17</formula1>
    </dataValidation>
    <dataValidation type="list" allowBlank="1" showInputMessage="1" showErrorMessage="1" sqref="E11">
      <formula1>$Z$3:$Z$78</formula1>
    </dataValidation>
    <dataValidation type="list" allowBlank="1" showInputMessage="1" showErrorMessage="1" sqref="G12">
      <formula1>$R$2:$R$3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140" zoomScaleNormal="140" workbookViewId="0">
      <selection activeCell="K10" sqref="K10"/>
    </sheetView>
  </sheetViews>
  <sheetFormatPr defaultRowHeight="15" x14ac:dyDescent="0.25"/>
  <cols>
    <col min="1" max="1" width="3.7109375" style="1" customWidth="1"/>
    <col min="2" max="4" width="9.140625" style="1"/>
    <col min="5" max="5" width="12.28515625" style="1" customWidth="1"/>
    <col min="6" max="9" width="9.140625" style="1"/>
    <col min="10" max="10" width="10.140625" style="1" customWidth="1"/>
    <col min="11" max="11" width="11.85546875" style="1" customWidth="1"/>
    <col min="12" max="12" width="9.140625" style="1"/>
    <col min="13" max="13" width="3.7109375" style="1" customWidth="1"/>
    <col min="14" max="14" width="9.140625" style="1"/>
    <col min="15" max="15" width="9.7109375" style="1" customWidth="1"/>
    <col min="16" max="17" width="9.140625" style="1"/>
    <col min="18" max="18" width="9.140625" style="1" customWidth="1"/>
    <col min="19" max="19" width="9.140625" style="1"/>
    <col min="20" max="20" width="4.42578125" style="1" customWidth="1"/>
    <col min="21" max="16384" width="9.140625" style="1"/>
  </cols>
  <sheetData>
    <row r="1" spans="1:24" x14ac:dyDescent="0.25">
      <c r="A1" s="1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3"/>
    </row>
    <row r="2" spans="1:24" ht="20.25" x14ac:dyDescent="0.3">
      <c r="A2" s="15"/>
      <c r="B2" s="236" t="s">
        <v>126</v>
      </c>
      <c r="C2" s="237"/>
      <c r="D2" s="237"/>
      <c r="E2" s="237"/>
      <c r="F2" s="237"/>
      <c r="G2" s="237"/>
      <c r="H2" s="237"/>
      <c r="I2" s="237"/>
      <c r="J2" s="237"/>
      <c r="K2" s="237"/>
      <c r="L2" s="238"/>
      <c r="M2" s="14"/>
    </row>
    <row r="3" spans="1:24" ht="20.25" x14ac:dyDescent="0.3">
      <c r="A3" s="15"/>
      <c r="B3" s="233" t="s">
        <v>127</v>
      </c>
      <c r="C3" s="234"/>
      <c r="D3" s="234"/>
      <c r="E3" s="234"/>
      <c r="F3" s="234"/>
      <c r="G3" s="234"/>
      <c r="H3" s="234"/>
      <c r="I3" s="234"/>
      <c r="J3" s="234"/>
      <c r="K3" s="234"/>
      <c r="L3" s="235"/>
      <c r="M3" s="14"/>
    </row>
    <row r="4" spans="1:24" x14ac:dyDescent="0.25">
      <c r="A4" s="15"/>
      <c r="B4" s="222" t="s">
        <v>30</v>
      </c>
      <c r="C4" s="223"/>
      <c r="D4" s="223"/>
      <c r="E4" s="223"/>
      <c r="F4" s="223"/>
      <c r="G4" s="223"/>
      <c r="H4" s="223"/>
      <c r="I4" s="223"/>
      <c r="J4" s="223"/>
      <c r="K4" s="223"/>
      <c r="L4" s="224"/>
      <c r="M4" s="14"/>
      <c r="O4" s="239" t="s">
        <v>122</v>
      </c>
      <c r="P4" s="240"/>
      <c r="Q4" s="240"/>
      <c r="R4" s="241"/>
    </row>
    <row r="5" spans="1:24" x14ac:dyDescent="0.25">
      <c r="A5" s="1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14"/>
      <c r="O5" s="144" t="s">
        <v>115</v>
      </c>
      <c r="P5" s="145" t="s">
        <v>119</v>
      </c>
      <c r="Q5" s="145" t="s">
        <v>120</v>
      </c>
      <c r="R5" s="146" t="s">
        <v>132</v>
      </c>
    </row>
    <row r="6" spans="1:24" ht="20.25" x14ac:dyDescent="0.3">
      <c r="A6" s="15"/>
      <c r="B6" s="140"/>
      <c r="C6" s="141" t="s">
        <v>31</v>
      </c>
      <c r="D6" s="57"/>
      <c r="E6" s="57"/>
      <c r="F6" s="57"/>
      <c r="G6" s="142"/>
      <c r="H6" s="141" t="s">
        <v>125</v>
      </c>
      <c r="I6" s="57"/>
      <c r="J6" s="57"/>
      <c r="K6" s="50"/>
      <c r="L6" s="143"/>
      <c r="M6" s="14"/>
      <c r="O6" s="128" t="str">
        <f>IF(RIGHT($K$7,3)="mo.",LEFT($O$11,2)-5&amp;RIGHT($K$7,8),LEFT($O$11,2)-5)</f>
        <v>61 + 6 mo.</v>
      </c>
      <c r="P6" s="129">
        <f>$F$9*0.7</f>
        <v>1827.6999999999998</v>
      </c>
      <c r="Q6" s="207" t="s">
        <v>9</v>
      </c>
      <c r="R6" s="204">
        <f>P6*12</f>
        <v>21932.399999999998</v>
      </c>
    </row>
    <row r="7" spans="1:24" ht="15" customHeight="1" x14ac:dyDescent="0.3">
      <c r="A7" s="15"/>
      <c r="B7" s="136"/>
      <c r="C7" s="120" t="s">
        <v>48</v>
      </c>
      <c r="D7" s="57"/>
      <c r="E7" s="57"/>
      <c r="F7" s="121">
        <v>2019</v>
      </c>
      <c r="G7" s="137"/>
      <c r="H7" s="120" t="s">
        <v>123</v>
      </c>
      <c r="I7" s="57"/>
      <c r="J7" s="57"/>
      <c r="K7" s="60" t="str">
        <f>VLOOKUP($F$8,BirthYear,2)</f>
        <v>66 + 6 mo.</v>
      </c>
      <c r="L7" s="138"/>
      <c r="M7" s="14"/>
      <c r="O7" s="130" t="str">
        <f>IF(RIGHT($K$7,3)="mo.",LEFT($O$11,2)-4&amp;RIGHT($K$7,8),LEFT($O$11,2)-4)</f>
        <v>62 + 6 mo.</v>
      </c>
      <c r="P7" s="7">
        <f>$F$9*0.75</f>
        <v>1958.25</v>
      </c>
      <c r="Q7" s="208" t="s">
        <v>14</v>
      </c>
      <c r="R7" s="205">
        <f t="shared" ref="R7:R14" si="0">P7*12</f>
        <v>23499</v>
      </c>
    </row>
    <row r="8" spans="1:24" ht="15" customHeight="1" x14ac:dyDescent="0.3">
      <c r="A8" s="15"/>
      <c r="B8" s="136"/>
      <c r="C8" s="122" t="s">
        <v>113</v>
      </c>
      <c r="D8" s="4"/>
      <c r="E8" s="4"/>
      <c r="F8" s="123">
        <v>1957</v>
      </c>
      <c r="G8" s="137"/>
      <c r="H8" s="124" t="s">
        <v>114</v>
      </c>
      <c r="I8" s="58"/>
      <c r="J8" s="58"/>
      <c r="K8" s="139">
        <f>VLOOKUP($F$8,BirthYear,3)</f>
        <v>0.08</v>
      </c>
      <c r="L8" s="138"/>
      <c r="M8" s="14"/>
      <c r="O8" s="130" t="str">
        <f>IF(RIGHT($K$7,3)="mo.",LEFT($O$11,2)-3&amp;RIGHT($K$7,8),LEFT($O$11,2)-3)</f>
        <v>63 + 6 mo.</v>
      </c>
      <c r="P8" s="7">
        <f>$F$9*0.8</f>
        <v>2088.8000000000002</v>
      </c>
      <c r="Q8" s="208" t="s">
        <v>10</v>
      </c>
      <c r="R8" s="205">
        <f t="shared" si="0"/>
        <v>25065.600000000002</v>
      </c>
    </row>
    <row r="9" spans="1:24" ht="15" customHeight="1" x14ac:dyDescent="0.3">
      <c r="A9" s="15"/>
      <c r="B9" s="136"/>
      <c r="C9" s="124" t="s">
        <v>49</v>
      </c>
      <c r="D9" s="58"/>
      <c r="E9" s="58"/>
      <c r="F9" s="149">
        <v>2611</v>
      </c>
      <c r="G9" s="137"/>
      <c r="H9" s="119" t="s">
        <v>112</v>
      </c>
      <c r="I9" s="4"/>
      <c r="J9" s="4"/>
      <c r="K9" s="147" t="s">
        <v>131</v>
      </c>
      <c r="L9" s="138"/>
      <c r="M9" s="14"/>
      <c r="O9" s="130" t="str">
        <f>IF(RIGHT($K$7,3)="mo.",LEFT($O$11,2)-2&amp;RIGHT($K$7,8),LEFT($O$11,2)-2)</f>
        <v>64 + 6 mo.</v>
      </c>
      <c r="P9" s="7">
        <f>$F$9*0.866666666666</f>
        <v>2262.866666664926</v>
      </c>
      <c r="Q9" s="208" t="s">
        <v>11</v>
      </c>
      <c r="R9" s="205">
        <f t="shared" si="0"/>
        <v>27154.399999979112</v>
      </c>
    </row>
    <row r="10" spans="1:24" ht="15" customHeight="1" x14ac:dyDescent="0.25">
      <c r="A10" s="15"/>
      <c r="B10" s="3"/>
      <c r="C10" s="4"/>
      <c r="D10" s="4"/>
      <c r="E10" s="4"/>
      <c r="F10" s="4"/>
      <c r="G10" s="4"/>
      <c r="H10" s="120" t="s">
        <v>117</v>
      </c>
      <c r="I10" s="57"/>
      <c r="J10" s="210" t="s">
        <v>9</v>
      </c>
      <c r="K10" s="134" t="str">
        <f>VLOOKUP(J10,FRAage,3,FALSE)</f>
        <v>65 + 6 mo.</v>
      </c>
      <c r="L10" s="65"/>
      <c r="M10" s="14"/>
      <c r="O10" s="130" t="str">
        <f>IF(RIGHT($K$7,3)="mo.",LEFT($O$11,2)-1&amp;RIGHT($K$7,8),LEFT($O$11,2)-1)</f>
        <v>65 + 6 mo.</v>
      </c>
      <c r="P10" s="7">
        <f>$F$9*0.93333333333333</f>
        <v>2436.9333333333248</v>
      </c>
      <c r="Q10" s="208" t="s">
        <v>13</v>
      </c>
      <c r="R10" s="205">
        <f t="shared" si="0"/>
        <v>29243.199999999895</v>
      </c>
    </row>
    <row r="11" spans="1:24" ht="15" customHeight="1" x14ac:dyDescent="0.25">
      <c r="A11" s="15"/>
      <c r="B11" s="3"/>
      <c r="C11" s="120" t="s">
        <v>0</v>
      </c>
      <c r="D11" s="57"/>
      <c r="E11" s="57"/>
      <c r="F11" s="148"/>
      <c r="G11" s="4"/>
      <c r="H11" s="122" t="s">
        <v>118</v>
      </c>
      <c r="I11" s="4"/>
      <c r="J11" s="211" t="s">
        <v>4</v>
      </c>
      <c r="K11" s="96" t="str">
        <f>VLOOKUP(J11,FRAage,3,FALSE)</f>
        <v>69 + 6 mo.</v>
      </c>
      <c r="L11" s="65"/>
      <c r="M11" s="14"/>
      <c r="O11" s="130" t="str">
        <f>$K$7</f>
        <v>66 + 6 mo.</v>
      </c>
      <c r="P11" s="7">
        <f>$F$9*1</f>
        <v>2611</v>
      </c>
      <c r="Q11" s="208" t="s">
        <v>1</v>
      </c>
      <c r="R11" s="205">
        <f t="shared" si="0"/>
        <v>31332</v>
      </c>
      <c r="V11" s="127"/>
      <c r="W11" s="127"/>
      <c r="X11" s="127"/>
    </row>
    <row r="12" spans="1:24" ht="15" customHeight="1" x14ac:dyDescent="0.25">
      <c r="A12" s="15"/>
      <c r="B12" s="3"/>
      <c r="C12" s="214" t="s">
        <v>133</v>
      </c>
      <c r="D12" s="58"/>
      <c r="E12" s="58"/>
      <c r="F12" s="133"/>
      <c r="G12" s="4"/>
      <c r="H12" s="125" t="s">
        <v>116</v>
      </c>
      <c r="I12" s="58"/>
      <c r="J12" s="201"/>
      <c r="K12" s="97">
        <f>Data!R52</f>
        <v>79</v>
      </c>
      <c r="L12" s="65"/>
      <c r="M12" s="14"/>
      <c r="O12" s="130" t="str">
        <f>IF(RIGHT($K$7,3)="mo.",LEFT($O$11,2)+1&amp;RIGHT($K$7,8),LEFT($O$11,2)+1)</f>
        <v>67 + 6 mo.</v>
      </c>
      <c r="P12" s="7">
        <f>$F$9*1.08</f>
        <v>2819.88</v>
      </c>
      <c r="Q12" s="208" t="s">
        <v>2</v>
      </c>
      <c r="R12" s="205">
        <f t="shared" si="0"/>
        <v>33838.559999999998</v>
      </c>
      <c r="V12" s="127"/>
      <c r="W12" s="127"/>
      <c r="X12" s="127"/>
    </row>
    <row r="13" spans="1:24" ht="15" customHeight="1" x14ac:dyDescent="0.25">
      <c r="A13" s="15"/>
      <c r="B13" s="42"/>
      <c r="C13" s="58"/>
      <c r="D13" s="58"/>
      <c r="E13" s="58"/>
      <c r="F13" s="58"/>
      <c r="G13" s="58"/>
      <c r="H13" s="58"/>
      <c r="I13" s="58"/>
      <c r="J13" s="58"/>
      <c r="K13" s="55"/>
      <c r="L13" s="68"/>
      <c r="M13" s="14"/>
      <c r="O13" s="130" t="str">
        <f>IF(RIGHT($K$7,3)="mo.",LEFT($O$11,2)+2&amp;RIGHT($K$7,8),LEFT($O$11,2)+2)</f>
        <v>68 + 6 mo.</v>
      </c>
      <c r="P13" s="7">
        <f>$F$9*1.16</f>
        <v>3028.7599999999998</v>
      </c>
      <c r="Q13" s="208" t="s">
        <v>3</v>
      </c>
      <c r="R13" s="205">
        <f t="shared" si="0"/>
        <v>36345.119999999995</v>
      </c>
    </row>
    <row r="14" spans="1:24" ht="15" customHeight="1" thickBo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O14" s="135" t="str">
        <f>IF(RIGHT($K$7,3)="mo.",LEFT($O$11,2)+3&amp;RIGHT($K$7,8),LEFT($O$11,2)+3)</f>
        <v>69 + 6 mo.</v>
      </c>
      <c r="P14" s="8">
        <f>$F$9*1.24</f>
        <v>3237.64</v>
      </c>
      <c r="Q14" s="209" t="s">
        <v>4</v>
      </c>
      <c r="R14" s="206">
        <f t="shared" si="0"/>
        <v>38851.68</v>
      </c>
      <c r="S14"/>
      <c r="T14"/>
    </row>
    <row r="15" spans="1:24" x14ac:dyDescent="0.25">
      <c r="M15" s="132"/>
      <c r="O15"/>
      <c r="P15"/>
      <c r="Q15"/>
      <c r="R15"/>
      <c r="S15"/>
      <c r="T15"/>
    </row>
    <row r="16" spans="1:24" x14ac:dyDescent="0.25">
      <c r="M16" s="132"/>
      <c r="O16"/>
      <c r="P16"/>
      <c r="Q16"/>
      <c r="R16"/>
      <c r="S16"/>
      <c r="T16"/>
    </row>
    <row r="17" spans="1:20" x14ac:dyDescent="0.25">
      <c r="A17" s="131"/>
      <c r="M17" s="132"/>
      <c r="O17"/>
      <c r="P17"/>
      <c r="Q17"/>
      <c r="R17"/>
      <c r="S17"/>
      <c r="T17"/>
    </row>
    <row r="18" spans="1:20" x14ac:dyDescent="0.25">
      <c r="A18" s="131"/>
      <c r="M18" s="132"/>
      <c r="O18"/>
      <c r="P18"/>
      <c r="Q18"/>
      <c r="R18"/>
      <c r="S18"/>
      <c r="T18"/>
    </row>
    <row r="19" spans="1:20" x14ac:dyDescent="0.25">
      <c r="A19" s="131"/>
      <c r="M19" s="132"/>
      <c r="O19"/>
      <c r="P19"/>
      <c r="Q19"/>
      <c r="R19"/>
      <c r="S19"/>
      <c r="T19"/>
    </row>
    <row r="20" spans="1:20" x14ac:dyDescent="0.25">
      <c r="A20" s="131"/>
      <c r="M20" s="132"/>
      <c r="O20"/>
      <c r="P20"/>
      <c r="Q20"/>
      <c r="R20"/>
      <c r="S20"/>
      <c r="T20"/>
    </row>
    <row r="21" spans="1:20" x14ac:dyDescent="0.25">
      <c r="A21" s="131"/>
      <c r="M21" s="132"/>
      <c r="O21"/>
      <c r="P21"/>
      <c r="Q21"/>
      <c r="R21"/>
      <c r="S21"/>
      <c r="T21"/>
    </row>
    <row r="22" spans="1:20" x14ac:dyDescent="0.25">
      <c r="A22" s="131"/>
      <c r="M22" s="132"/>
      <c r="O22"/>
      <c r="P22"/>
      <c r="Q22"/>
      <c r="R22"/>
      <c r="S22"/>
      <c r="T22"/>
    </row>
    <row r="23" spans="1:20" x14ac:dyDescent="0.25">
      <c r="A23" s="131"/>
      <c r="M23" s="132"/>
      <c r="O23"/>
      <c r="P23"/>
      <c r="Q23"/>
      <c r="R23"/>
      <c r="S23"/>
      <c r="T23"/>
    </row>
    <row r="24" spans="1:20" x14ac:dyDescent="0.25">
      <c r="A24" s="131"/>
      <c r="M24" s="132"/>
      <c r="O24"/>
      <c r="P24"/>
      <c r="Q24"/>
      <c r="R24"/>
      <c r="S24"/>
      <c r="T24"/>
    </row>
    <row r="25" spans="1:20" x14ac:dyDescent="0.25">
      <c r="A25" s="131"/>
      <c r="M25" s="132"/>
      <c r="O25"/>
      <c r="P25"/>
      <c r="Q25"/>
      <c r="R25"/>
      <c r="S25"/>
      <c r="T25"/>
    </row>
    <row r="26" spans="1:20" x14ac:dyDescent="0.25">
      <c r="A26" s="131"/>
      <c r="M26" s="132"/>
      <c r="O26"/>
      <c r="P26"/>
      <c r="Q26"/>
      <c r="R26"/>
      <c r="S26"/>
      <c r="T26"/>
    </row>
    <row r="27" spans="1:20" x14ac:dyDescent="0.25">
      <c r="A27" s="131"/>
      <c r="M27" s="132"/>
    </row>
    <row r="28" spans="1:20" x14ac:dyDescent="0.25">
      <c r="A28" s="131"/>
      <c r="M28" s="132"/>
      <c r="P28" s="1" t="s">
        <v>121</v>
      </c>
    </row>
    <row r="29" spans="1:20" x14ac:dyDescent="0.25">
      <c r="A29" s="131"/>
      <c r="M29" s="132"/>
      <c r="P29" s="126" t="s">
        <v>128</v>
      </c>
    </row>
    <row r="30" spans="1:20" x14ac:dyDescent="0.25">
      <c r="A30" s="131"/>
      <c r="M30" s="132"/>
    </row>
    <row r="31" spans="1:20" x14ac:dyDescent="0.25">
      <c r="A31" s="131"/>
      <c r="M31" s="132"/>
    </row>
    <row r="32" spans="1:20" x14ac:dyDescent="0.25">
      <c r="A32" s="131"/>
      <c r="M32" s="132"/>
    </row>
    <row r="33" spans="1:13" x14ac:dyDescent="0.25">
      <c r="A33" s="131"/>
      <c r="M33" s="132"/>
    </row>
    <row r="34" spans="1:13" x14ac:dyDescent="0.25">
      <c r="A34" s="131"/>
      <c r="M34" s="132"/>
    </row>
    <row r="35" spans="1:13" x14ac:dyDescent="0.25">
      <c r="A35" s="131"/>
      <c r="M35" s="132"/>
    </row>
    <row r="36" spans="1:13" x14ac:dyDescent="0.25">
      <c r="A36" s="131"/>
      <c r="M36" s="132"/>
    </row>
    <row r="37" spans="1:13" x14ac:dyDescent="0.25">
      <c r="A37" s="131"/>
      <c r="M37" s="132"/>
    </row>
    <row r="38" spans="1:13" ht="15.75" thickBot="1" x14ac:dyDescent="0.3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</row>
    <row r="39" spans="1:13" x14ac:dyDescent="0.25">
      <c r="A39" s="1" t="s">
        <v>28</v>
      </c>
      <c r="B39" s="1" t="str">
        <f>" Comparing "&amp;Data!O51&amp;" versus "&amp;Data!P51&amp;" without taxes, the breakeven point at a "&amp;TEXT(Data!D6,"0.0%")&amp;" return is "&amp;K12&amp;".  If you think you will live beyond "&amp;K12&amp;", it is better for you to take Social Security at your "&amp;J11</f>
        <v xml:space="preserve"> Comparing FRA-5 versus FRA+3 without taxes, the breakeven point at a 0.0% return is 79.  If you think you will live beyond 79, it is better for you to take Social Security at your FRA+3</v>
      </c>
    </row>
  </sheetData>
  <mergeCells count="4">
    <mergeCell ref="B4:L4"/>
    <mergeCell ref="B3:L3"/>
    <mergeCell ref="B2:L2"/>
    <mergeCell ref="O4:R4"/>
  </mergeCells>
  <hyperlinks>
    <hyperlink ref="P29" r:id="rId1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'AIME PIA and Family Max'!$R$7:$R$17</xm:f>
          </x14:formula1>
          <xm:sqref>F7</xm:sqref>
        </x14:dataValidation>
        <x14:dataValidation type="list" allowBlank="1" showInputMessage="1" showErrorMessage="1">
          <x14:formula1>
            <xm:f>Data!$S$7:$S$15</xm:f>
          </x14:formula1>
          <xm:sqref>J10:J11</xm:sqref>
        </x14:dataValidation>
        <x14:dataValidation type="list" allowBlank="1" showInputMessage="1" showErrorMessage="1">
          <x14:formula1>
            <xm:f>'AIME PIA and Family Max'!$Z$4:$Z$78</xm:f>
          </x14:formula1>
          <xm:sqref>F8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showGridLines="0" zoomScale="140" zoomScaleNormal="140" workbookViewId="0">
      <selection activeCell="N11" sqref="N11"/>
    </sheetView>
  </sheetViews>
  <sheetFormatPr defaultRowHeight="12.75" x14ac:dyDescent="0.2"/>
  <cols>
    <col min="1" max="2" width="9.140625" style="150"/>
    <col min="3" max="3" width="10" style="150" bestFit="1" customWidth="1"/>
    <col min="4" max="5" width="9.140625" style="150"/>
    <col min="6" max="7" width="8.7109375" style="150" customWidth="1"/>
    <col min="8" max="9" width="10" style="150" bestFit="1" customWidth="1"/>
    <col min="10" max="12" width="9.140625" style="150"/>
    <col min="13" max="17" width="12.7109375" style="150" customWidth="1"/>
    <col min="18" max="16384" width="9.140625" style="150"/>
  </cols>
  <sheetData>
    <row r="1" spans="1:37" ht="13.5" thickBot="1" x14ac:dyDescent="0.25">
      <c r="A1" s="242" t="s">
        <v>5</v>
      </c>
      <c r="B1" s="243"/>
      <c r="C1" s="243"/>
      <c r="D1" s="243"/>
      <c r="E1" s="243"/>
      <c r="F1" s="243"/>
      <c r="G1" s="243"/>
      <c r="H1" s="243"/>
      <c r="I1" s="244"/>
      <c r="L1" s="150" t="s">
        <v>130</v>
      </c>
    </row>
    <row r="2" spans="1:37" x14ac:dyDescent="0.2">
      <c r="A2" s="245" t="s">
        <v>8</v>
      </c>
      <c r="B2" s="246"/>
      <c r="C2" s="246"/>
      <c r="D2" s="246"/>
      <c r="E2" s="246"/>
      <c r="F2" s="246"/>
      <c r="G2" s="246"/>
      <c r="H2" s="246"/>
      <c r="I2" s="247"/>
      <c r="L2" s="151" t="s">
        <v>9</v>
      </c>
      <c r="M2" s="152">
        <f>$D$5*C9</f>
        <v>1827.6999999999998</v>
      </c>
      <c r="N2" s="200" t="str">
        <f>IF(RIGHT($N$7,3)="mo.",LEFT($N$7,2)-1&amp;RIGHT($N$7,8),LEFT($N$7,2)-5)</f>
        <v>65 + 6 mo.</v>
      </c>
    </row>
    <row r="3" spans="1:37" x14ac:dyDescent="0.2">
      <c r="A3" s="248" t="s">
        <v>51</v>
      </c>
      <c r="B3" s="249"/>
      <c r="C3" s="249"/>
      <c r="D3" s="249"/>
      <c r="E3" s="249"/>
      <c r="F3" s="249"/>
      <c r="G3" s="249"/>
      <c r="H3" s="249"/>
      <c r="I3" s="250"/>
      <c r="L3" s="153" t="s">
        <v>14</v>
      </c>
      <c r="M3" s="154">
        <f>D12/12</f>
        <v>1958.25</v>
      </c>
      <c r="N3" s="200" t="str">
        <f>IF(RIGHT($N$7,3)="mo.",LEFT($N$7,2)-1&amp;RIGHT($N$7,8),LEFT($N$7,2)-4)</f>
        <v>65 + 6 mo.</v>
      </c>
    </row>
    <row r="4" spans="1:37" x14ac:dyDescent="0.2">
      <c r="A4" s="155"/>
      <c r="B4" s="155"/>
      <c r="C4" s="155"/>
      <c r="D4" s="155"/>
      <c r="E4" s="155"/>
      <c r="F4" s="155"/>
      <c r="G4" s="155"/>
      <c r="H4" s="155"/>
      <c r="I4" s="155"/>
      <c r="L4" s="156" t="s">
        <v>10</v>
      </c>
      <c r="M4" s="154">
        <f>E13/12</f>
        <v>2088.8000000000002</v>
      </c>
      <c r="N4" s="200" t="str">
        <f>IF(RIGHT($N$7,3)="mo.",LEFT($N$7,2)-1&amp;RIGHT($N$7,8),LEFT($N$7,2)-3)</f>
        <v>65 + 6 mo.</v>
      </c>
      <c r="S4" s="157" t="s">
        <v>17</v>
      </c>
      <c r="T4" s="158" t="str">
        <f>VLOOKUP('Breakeven Years'!J10,ChartNum,2,FALSE)</f>
        <v>1</v>
      </c>
    </row>
    <row r="5" spans="1:37" x14ac:dyDescent="0.2">
      <c r="A5" s="160" t="s">
        <v>111</v>
      </c>
      <c r="B5" s="159"/>
      <c r="C5" s="159"/>
      <c r="D5" s="202">
        <f>'Breakeven Years'!F9</f>
        <v>2611</v>
      </c>
      <c r="E5" s="159"/>
      <c r="F5" s="160" t="s">
        <v>15</v>
      </c>
      <c r="G5" s="159"/>
      <c r="H5" s="159"/>
      <c r="I5" s="158" t="str">
        <f>'Breakeven Years'!K7</f>
        <v>66 + 6 mo.</v>
      </c>
      <c r="L5" s="156" t="s">
        <v>11</v>
      </c>
      <c r="M5" s="154">
        <f>F14/12</f>
        <v>2262.8666666666668</v>
      </c>
      <c r="N5" s="200" t="str">
        <f>IF(RIGHT($N$7,3)="mo.",LEFT($N$7,2)-1&amp;RIGHT($N$7,8),LEFT($N$7,2)-2)</f>
        <v>65 + 6 mo.</v>
      </c>
      <c r="S5" s="161" t="s">
        <v>18</v>
      </c>
      <c r="T5" s="162" t="str">
        <f>VLOOKUP('Breakeven Years'!J11,ChartNum,2,FALSE)</f>
        <v>9</v>
      </c>
    </row>
    <row r="6" spans="1:37" x14ac:dyDescent="0.2">
      <c r="A6" s="163" t="s">
        <v>0</v>
      </c>
      <c r="D6" s="164">
        <f>'Breakeven Years'!F11</f>
        <v>0</v>
      </c>
      <c r="F6" s="163" t="s">
        <v>109</v>
      </c>
      <c r="I6" s="165">
        <v>0.08</v>
      </c>
      <c r="L6" s="156" t="s">
        <v>13</v>
      </c>
      <c r="M6" s="154">
        <f>G15/12</f>
        <v>2436.9333333333334</v>
      </c>
      <c r="N6" s="200" t="str">
        <f>IF(RIGHT($N$7,3)="mo.",LEFT($N$7,2)-1&amp;RIGHT($N$7,8),LEFT($N$7,2)-1)</f>
        <v>65 + 6 mo.</v>
      </c>
      <c r="S6" s="150" t="s">
        <v>16</v>
      </c>
    </row>
    <row r="7" spans="1:37" x14ac:dyDescent="0.2">
      <c r="A7" s="166" t="s">
        <v>7</v>
      </c>
      <c r="B7" s="167"/>
      <c r="C7" s="167"/>
      <c r="D7" s="203">
        <f>LEFT(I5,2)-5</f>
        <v>61</v>
      </c>
      <c r="E7" s="167"/>
      <c r="F7" s="166" t="s">
        <v>110</v>
      </c>
      <c r="G7" s="167"/>
      <c r="H7" s="167"/>
      <c r="I7" s="168">
        <f>'Breakeven Years'!F12</f>
        <v>0</v>
      </c>
      <c r="L7" s="156" t="s">
        <v>1</v>
      </c>
      <c r="M7" s="154">
        <f>D5</f>
        <v>2611</v>
      </c>
      <c r="N7" s="169" t="str">
        <f>I5</f>
        <v>66 + 6 mo.</v>
      </c>
      <c r="S7" s="157" t="s">
        <v>9</v>
      </c>
      <c r="T7" s="170" t="s">
        <v>19</v>
      </c>
    </row>
    <row r="8" spans="1:37" x14ac:dyDescent="0.2">
      <c r="C8" s="155" t="str">
        <f>"Breakeven at the Required Rate of "&amp;TEXT(D6,"0.0%")</f>
        <v>Breakeven at the Required Rate of 0.0%</v>
      </c>
      <c r="L8" s="156" t="s">
        <v>2</v>
      </c>
      <c r="M8" s="154">
        <f>I17/12</f>
        <v>2819.8800000000006</v>
      </c>
      <c r="N8" s="200" t="str">
        <f>IF(RIGHT($N$7,3)="mo.",LEFT($N$7,2)+1&amp;RIGHT($N$7,8),LEFT($N$7,2)+1)</f>
        <v>67 + 6 mo.</v>
      </c>
      <c r="S8" s="171" t="s">
        <v>14</v>
      </c>
      <c r="T8" s="172" t="s">
        <v>20</v>
      </c>
    </row>
    <row r="9" spans="1:37" x14ac:dyDescent="0.2">
      <c r="C9" s="173">
        <v>0.7</v>
      </c>
      <c r="D9" s="173">
        <v>0.75</v>
      </c>
      <c r="E9" s="173">
        <v>0.8</v>
      </c>
      <c r="F9" s="173">
        <f>1*(1-(0.2/3*2))</f>
        <v>0.8666666666666667</v>
      </c>
      <c r="G9" s="173">
        <f>1*(1-(0.2/3))</f>
        <v>0.93333333333333335</v>
      </c>
      <c r="H9" s="173">
        <v>1</v>
      </c>
      <c r="I9" s="173">
        <f>1+I6</f>
        <v>1.08</v>
      </c>
      <c r="J9" s="173">
        <f>1+2*I6</f>
        <v>1.1599999999999999</v>
      </c>
      <c r="K9" s="173">
        <f>1+3*I6</f>
        <v>1.24</v>
      </c>
      <c r="L9" s="174" t="s">
        <v>3</v>
      </c>
      <c r="M9" s="154">
        <f>J18/12</f>
        <v>3028.7599999999998</v>
      </c>
      <c r="N9" s="200" t="str">
        <f>IF(RIGHT($N$7,3)="mo.",LEFT($N$7,2)+2&amp;RIGHT($N$7,8),LEFT($N$7,2)+2)</f>
        <v>68 + 6 mo.</v>
      </c>
      <c r="S9" s="171" t="s">
        <v>10</v>
      </c>
      <c r="T9" s="172" t="s">
        <v>21</v>
      </c>
    </row>
    <row r="10" spans="1:37" s="178" customFormat="1" ht="13.5" thickBot="1" x14ac:dyDescent="0.25">
      <c r="A10" s="150"/>
      <c r="B10" s="150"/>
      <c r="C10" s="175" t="s">
        <v>9</v>
      </c>
      <c r="D10" s="175" t="s">
        <v>14</v>
      </c>
      <c r="E10" s="175" t="s">
        <v>10</v>
      </c>
      <c r="F10" s="175" t="s">
        <v>11</v>
      </c>
      <c r="G10" s="175" t="s">
        <v>13</v>
      </c>
      <c r="H10" s="175" t="s">
        <v>1</v>
      </c>
      <c r="I10" s="175" t="s">
        <v>2</v>
      </c>
      <c r="J10" s="175" t="s">
        <v>3</v>
      </c>
      <c r="K10" s="176" t="s">
        <v>4</v>
      </c>
      <c r="L10" s="177" t="s">
        <v>4</v>
      </c>
      <c r="M10" s="253">
        <f>K19/12</f>
        <v>3237.64</v>
      </c>
      <c r="N10" s="200" t="str">
        <f>IF(RIGHT($N$7,3)="mo.",LEFT($N$7,2)+3&amp;RIGHT($N$7,8),LEFT($N$7,2)+3)</f>
        <v>69 + 6 mo.</v>
      </c>
      <c r="O10" s="150"/>
      <c r="P10" s="150"/>
      <c r="Q10" s="150"/>
      <c r="R10" s="150"/>
      <c r="S10" s="171" t="s">
        <v>11</v>
      </c>
      <c r="T10" s="172" t="s">
        <v>22</v>
      </c>
    </row>
    <row r="11" spans="1:37" x14ac:dyDescent="0.2">
      <c r="A11" s="150" t="str">
        <f t="shared" ref="A11:A49" si="0">"FRA "&amp;($O11+1-$O$10-3)&amp;" Yrs"</f>
        <v>FRA -2 Yrs</v>
      </c>
      <c r="B11" s="150" t="str">
        <f>"Age "&amp;D7</f>
        <v>Age 61</v>
      </c>
      <c r="C11" s="179">
        <f>$D$5*12*0.7</f>
        <v>21932.399999999998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80">
        <v>0</v>
      </c>
      <c r="S11" s="171" t="s">
        <v>13</v>
      </c>
      <c r="T11" s="172" t="s">
        <v>23</v>
      </c>
    </row>
    <row r="12" spans="1:37" x14ac:dyDescent="0.2">
      <c r="A12" s="150" t="str">
        <f t="shared" si="0"/>
        <v>FRA -2 Yrs</v>
      </c>
      <c r="B12" s="150" t="str">
        <f>"Age "&amp;RIGHT(B11,2)+1</f>
        <v>Age 62</v>
      </c>
      <c r="C12" s="179">
        <f>C11*(1+$I$7)</f>
        <v>21932.399999999998</v>
      </c>
      <c r="D12" s="179">
        <f>$D$5*12*0.75</f>
        <v>23499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80">
        <v>0</v>
      </c>
      <c r="S12" s="171" t="s">
        <v>1</v>
      </c>
      <c r="T12" s="172" t="s">
        <v>24</v>
      </c>
    </row>
    <row r="13" spans="1:37" x14ac:dyDescent="0.2">
      <c r="A13" s="150" t="str">
        <f t="shared" si="0"/>
        <v>FRA -2 Yrs</v>
      </c>
      <c r="B13" s="150" t="str">
        <f t="shared" ref="B13:B46" si="1">"Age "&amp;RIGHT(B12,2)+1</f>
        <v>Age 63</v>
      </c>
      <c r="C13" s="179">
        <f>C12*(1+$I$7)</f>
        <v>21932.399999999998</v>
      </c>
      <c r="D13" s="179">
        <f>D12*(1+$I$7)</f>
        <v>23499</v>
      </c>
      <c r="E13" s="179">
        <f>$D$5*12*0.8</f>
        <v>25065.600000000002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80">
        <v>0</v>
      </c>
      <c r="L13" s="181"/>
      <c r="S13" s="171" t="s">
        <v>2</v>
      </c>
      <c r="T13" s="172" t="s">
        <v>25</v>
      </c>
    </row>
    <row r="14" spans="1:37" x14ac:dyDescent="0.2">
      <c r="A14" s="150" t="str">
        <f t="shared" si="0"/>
        <v>FRA -2 Yrs</v>
      </c>
      <c r="B14" s="150" t="str">
        <f t="shared" si="1"/>
        <v>Age 64</v>
      </c>
      <c r="C14" s="179">
        <f t="shared" ref="C14:J49" si="2">C13*(1+$I$7)</f>
        <v>21932.399999999998</v>
      </c>
      <c r="D14" s="179">
        <f t="shared" si="2"/>
        <v>23499</v>
      </c>
      <c r="E14" s="179">
        <f t="shared" si="2"/>
        <v>25065.600000000002</v>
      </c>
      <c r="F14" s="179">
        <f>$D$5*12*F9</f>
        <v>27154.400000000001</v>
      </c>
      <c r="G14" s="179">
        <v>0</v>
      </c>
      <c r="H14" s="179">
        <v>0</v>
      </c>
      <c r="I14" s="179">
        <v>0</v>
      </c>
      <c r="J14" s="179">
        <v>0</v>
      </c>
      <c r="K14" s="180">
        <v>0</v>
      </c>
      <c r="L14" s="181"/>
      <c r="S14" s="171" t="s">
        <v>3</v>
      </c>
      <c r="T14" s="172" t="s">
        <v>26</v>
      </c>
    </row>
    <row r="15" spans="1:37" x14ac:dyDescent="0.2">
      <c r="A15" s="150" t="str">
        <f t="shared" si="0"/>
        <v>FRA -2 Yrs</v>
      </c>
      <c r="B15" s="150" t="str">
        <f t="shared" si="1"/>
        <v>Age 65</v>
      </c>
      <c r="C15" s="179">
        <f t="shared" si="2"/>
        <v>21932.399999999998</v>
      </c>
      <c r="D15" s="179">
        <f t="shared" si="2"/>
        <v>23499</v>
      </c>
      <c r="E15" s="179">
        <f t="shared" si="2"/>
        <v>25065.600000000002</v>
      </c>
      <c r="F15" s="179">
        <f t="shared" si="2"/>
        <v>27154.400000000001</v>
      </c>
      <c r="G15" s="179">
        <f>$D$5*12*G9</f>
        <v>29243.200000000001</v>
      </c>
      <c r="H15" s="179">
        <v>0</v>
      </c>
      <c r="I15" s="179">
        <v>0</v>
      </c>
      <c r="J15" s="179">
        <v>0</v>
      </c>
      <c r="K15" s="180">
        <v>0</v>
      </c>
      <c r="L15" s="181"/>
      <c r="S15" s="171" t="s">
        <v>4</v>
      </c>
      <c r="T15" s="172" t="s">
        <v>27</v>
      </c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</row>
    <row r="16" spans="1:37" x14ac:dyDescent="0.2">
      <c r="A16" s="150" t="str">
        <f t="shared" si="0"/>
        <v>FRA -2 Yrs</v>
      </c>
      <c r="B16" s="150" t="str">
        <f t="shared" si="1"/>
        <v>Age 66</v>
      </c>
      <c r="C16" s="179">
        <f t="shared" si="2"/>
        <v>21932.399999999998</v>
      </c>
      <c r="D16" s="179">
        <f t="shared" si="2"/>
        <v>23499</v>
      </c>
      <c r="E16" s="179">
        <f t="shared" si="2"/>
        <v>25065.600000000002</v>
      </c>
      <c r="F16" s="179">
        <f t="shared" si="2"/>
        <v>27154.400000000001</v>
      </c>
      <c r="G16" s="179">
        <f t="shared" si="2"/>
        <v>29243.200000000001</v>
      </c>
      <c r="H16" s="179">
        <f>$D$5*12*H9</f>
        <v>31332</v>
      </c>
      <c r="I16" s="179">
        <v>0</v>
      </c>
      <c r="J16" s="179">
        <v>0</v>
      </c>
      <c r="K16" s="180">
        <v>0</v>
      </c>
      <c r="L16" s="181"/>
      <c r="S16" s="166"/>
      <c r="T16" s="183"/>
    </row>
    <row r="17" spans="1:13" x14ac:dyDescent="0.2">
      <c r="A17" s="150" t="str">
        <f t="shared" si="0"/>
        <v>FRA -2 Yrs</v>
      </c>
      <c r="B17" s="150" t="str">
        <f t="shared" si="1"/>
        <v>Age 67</v>
      </c>
      <c r="C17" s="179">
        <f t="shared" si="2"/>
        <v>21932.399999999998</v>
      </c>
      <c r="D17" s="179">
        <f t="shared" si="2"/>
        <v>23499</v>
      </c>
      <c r="E17" s="179">
        <f t="shared" si="2"/>
        <v>25065.600000000002</v>
      </c>
      <c r="F17" s="179">
        <f t="shared" si="2"/>
        <v>27154.400000000001</v>
      </c>
      <c r="G17" s="179">
        <f t="shared" si="2"/>
        <v>29243.200000000001</v>
      </c>
      <c r="H17" s="179">
        <f t="shared" si="2"/>
        <v>31332</v>
      </c>
      <c r="I17" s="179">
        <f>$D$5*12*I9</f>
        <v>33838.560000000005</v>
      </c>
      <c r="J17" s="179">
        <v>0</v>
      </c>
      <c r="K17" s="180">
        <v>0</v>
      </c>
      <c r="L17" s="181"/>
    </row>
    <row r="18" spans="1:13" x14ac:dyDescent="0.2">
      <c r="A18" s="150" t="str">
        <f t="shared" si="0"/>
        <v>FRA -2 Yrs</v>
      </c>
      <c r="B18" s="150" t="str">
        <f t="shared" si="1"/>
        <v>Age 68</v>
      </c>
      <c r="C18" s="179">
        <f t="shared" si="2"/>
        <v>21932.399999999998</v>
      </c>
      <c r="D18" s="179">
        <f t="shared" si="2"/>
        <v>23499</v>
      </c>
      <c r="E18" s="179">
        <f t="shared" si="2"/>
        <v>25065.600000000002</v>
      </c>
      <c r="F18" s="179">
        <f t="shared" si="2"/>
        <v>27154.400000000001</v>
      </c>
      <c r="G18" s="179">
        <f t="shared" si="2"/>
        <v>29243.200000000001</v>
      </c>
      <c r="H18" s="179">
        <f t="shared" si="2"/>
        <v>31332</v>
      </c>
      <c r="I18" s="179">
        <f t="shared" si="2"/>
        <v>33838.560000000005</v>
      </c>
      <c r="J18" s="179">
        <f>$D$5*12*J9</f>
        <v>36345.119999999995</v>
      </c>
      <c r="K18" s="180">
        <v>0</v>
      </c>
      <c r="L18" s="181"/>
      <c r="M18" s="184"/>
    </row>
    <row r="19" spans="1:13" x14ac:dyDescent="0.2">
      <c r="A19" s="150" t="str">
        <f t="shared" si="0"/>
        <v>FRA -2 Yrs</v>
      </c>
      <c r="B19" s="150" t="str">
        <f t="shared" si="1"/>
        <v>Age 69</v>
      </c>
      <c r="C19" s="179">
        <f t="shared" si="2"/>
        <v>21932.399999999998</v>
      </c>
      <c r="D19" s="179">
        <f t="shared" si="2"/>
        <v>23499</v>
      </c>
      <c r="E19" s="179">
        <f t="shared" si="2"/>
        <v>25065.600000000002</v>
      </c>
      <c r="F19" s="179">
        <f t="shared" si="2"/>
        <v>27154.400000000001</v>
      </c>
      <c r="G19" s="179">
        <f t="shared" si="2"/>
        <v>29243.200000000001</v>
      </c>
      <c r="H19" s="179">
        <f t="shared" si="2"/>
        <v>31332</v>
      </c>
      <c r="I19" s="179">
        <f t="shared" si="2"/>
        <v>33838.560000000005</v>
      </c>
      <c r="J19" s="179">
        <f t="shared" si="2"/>
        <v>36345.119999999995</v>
      </c>
      <c r="K19" s="180">
        <f>$D$5*12*K9</f>
        <v>38851.68</v>
      </c>
      <c r="L19" s="181"/>
      <c r="M19" s="184"/>
    </row>
    <row r="20" spans="1:13" x14ac:dyDescent="0.2">
      <c r="A20" s="150" t="str">
        <f t="shared" si="0"/>
        <v>FRA -2 Yrs</v>
      </c>
      <c r="B20" s="150" t="str">
        <f t="shared" si="1"/>
        <v>Age 70</v>
      </c>
      <c r="C20" s="179">
        <f t="shared" si="2"/>
        <v>21932.399999999998</v>
      </c>
      <c r="D20" s="179">
        <f t="shared" si="2"/>
        <v>23499</v>
      </c>
      <c r="E20" s="179">
        <f t="shared" si="2"/>
        <v>25065.600000000002</v>
      </c>
      <c r="F20" s="179">
        <f t="shared" si="2"/>
        <v>27154.400000000001</v>
      </c>
      <c r="G20" s="179">
        <f t="shared" si="2"/>
        <v>29243.200000000001</v>
      </c>
      <c r="H20" s="179">
        <f t="shared" si="2"/>
        <v>31332</v>
      </c>
      <c r="I20" s="179">
        <f t="shared" si="2"/>
        <v>33838.560000000005</v>
      </c>
      <c r="J20" s="179">
        <f t="shared" si="2"/>
        <v>36345.119999999995</v>
      </c>
      <c r="K20" s="180">
        <f t="shared" ref="K20:K49" si="3">K19*(1+$I$7)</f>
        <v>38851.68</v>
      </c>
      <c r="L20" s="181"/>
      <c r="M20" s="184"/>
    </row>
    <row r="21" spans="1:13" x14ac:dyDescent="0.2">
      <c r="A21" s="150" t="str">
        <f t="shared" si="0"/>
        <v>FRA -2 Yrs</v>
      </c>
      <c r="B21" s="150" t="str">
        <f t="shared" si="1"/>
        <v>Age 71</v>
      </c>
      <c r="C21" s="179">
        <f t="shared" si="2"/>
        <v>21932.399999999998</v>
      </c>
      <c r="D21" s="179">
        <f t="shared" si="2"/>
        <v>23499</v>
      </c>
      <c r="E21" s="179">
        <f t="shared" si="2"/>
        <v>25065.600000000002</v>
      </c>
      <c r="F21" s="179">
        <f t="shared" si="2"/>
        <v>27154.400000000001</v>
      </c>
      <c r="G21" s="179">
        <f t="shared" si="2"/>
        <v>29243.200000000001</v>
      </c>
      <c r="H21" s="179">
        <f t="shared" si="2"/>
        <v>31332</v>
      </c>
      <c r="I21" s="179">
        <f t="shared" si="2"/>
        <v>33838.560000000005</v>
      </c>
      <c r="J21" s="179">
        <f t="shared" si="2"/>
        <v>36345.119999999995</v>
      </c>
      <c r="K21" s="180">
        <f t="shared" si="3"/>
        <v>38851.68</v>
      </c>
      <c r="L21" s="181"/>
      <c r="M21" s="184"/>
    </row>
    <row r="22" spans="1:13" x14ac:dyDescent="0.2">
      <c r="A22" s="150" t="str">
        <f t="shared" si="0"/>
        <v>FRA -2 Yrs</v>
      </c>
      <c r="B22" s="150" t="str">
        <f t="shared" si="1"/>
        <v>Age 72</v>
      </c>
      <c r="C22" s="179">
        <f t="shared" si="2"/>
        <v>21932.399999999998</v>
      </c>
      <c r="D22" s="179">
        <f t="shared" si="2"/>
        <v>23499</v>
      </c>
      <c r="E22" s="179">
        <f t="shared" si="2"/>
        <v>25065.600000000002</v>
      </c>
      <c r="F22" s="179">
        <f t="shared" si="2"/>
        <v>27154.400000000001</v>
      </c>
      <c r="G22" s="179">
        <f t="shared" si="2"/>
        <v>29243.200000000001</v>
      </c>
      <c r="H22" s="179">
        <f t="shared" si="2"/>
        <v>31332</v>
      </c>
      <c r="I22" s="179">
        <f t="shared" si="2"/>
        <v>33838.560000000005</v>
      </c>
      <c r="J22" s="179">
        <f t="shared" si="2"/>
        <v>36345.119999999995</v>
      </c>
      <c r="K22" s="180">
        <f t="shared" si="3"/>
        <v>38851.68</v>
      </c>
      <c r="L22" s="181"/>
      <c r="M22" s="184"/>
    </row>
    <row r="23" spans="1:13" x14ac:dyDescent="0.2">
      <c r="A23" s="150" t="str">
        <f t="shared" si="0"/>
        <v>FRA -2 Yrs</v>
      </c>
      <c r="B23" s="150" t="str">
        <f t="shared" si="1"/>
        <v>Age 73</v>
      </c>
      <c r="C23" s="179">
        <f t="shared" si="2"/>
        <v>21932.399999999998</v>
      </c>
      <c r="D23" s="179">
        <f t="shared" si="2"/>
        <v>23499</v>
      </c>
      <c r="E23" s="179">
        <f t="shared" si="2"/>
        <v>25065.600000000002</v>
      </c>
      <c r="F23" s="179">
        <f t="shared" si="2"/>
        <v>27154.400000000001</v>
      </c>
      <c r="G23" s="179">
        <f t="shared" si="2"/>
        <v>29243.200000000001</v>
      </c>
      <c r="H23" s="179">
        <f t="shared" si="2"/>
        <v>31332</v>
      </c>
      <c r="I23" s="179">
        <f t="shared" si="2"/>
        <v>33838.560000000005</v>
      </c>
      <c r="J23" s="179">
        <f t="shared" si="2"/>
        <v>36345.119999999995</v>
      </c>
      <c r="K23" s="180">
        <f t="shared" si="3"/>
        <v>38851.68</v>
      </c>
      <c r="L23" s="181"/>
      <c r="M23" s="184"/>
    </row>
    <row r="24" spans="1:13" x14ac:dyDescent="0.2">
      <c r="A24" s="150" t="str">
        <f t="shared" si="0"/>
        <v>FRA -2 Yrs</v>
      </c>
      <c r="B24" s="150" t="str">
        <f t="shared" si="1"/>
        <v>Age 74</v>
      </c>
      <c r="C24" s="179">
        <f t="shared" si="2"/>
        <v>21932.399999999998</v>
      </c>
      <c r="D24" s="179">
        <f t="shared" si="2"/>
        <v>23499</v>
      </c>
      <c r="E24" s="179">
        <f t="shared" si="2"/>
        <v>25065.600000000002</v>
      </c>
      <c r="F24" s="179">
        <f t="shared" si="2"/>
        <v>27154.400000000001</v>
      </c>
      <c r="G24" s="179">
        <f t="shared" si="2"/>
        <v>29243.200000000001</v>
      </c>
      <c r="H24" s="179">
        <f t="shared" si="2"/>
        <v>31332</v>
      </c>
      <c r="I24" s="179">
        <f t="shared" si="2"/>
        <v>33838.560000000005</v>
      </c>
      <c r="J24" s="179">
        <f t="shared" si="2"/>
        <v>36345.119999999995</v>
      </c>
      <c r="K24" s="180">
        <f t="shared" si="3"/>
        <v>38851.68</v>
      </c>
      <c r="L24" s="181"/>
      <c r="M24" s="184"/>
    </row>
    <row r="25" spans="1:13" x14ac:dyDescent="0.2">
      <c r="A25" s="150" t="str">
        <f t="shared" si="0"/>
        <v>FRA -2 Yrs</v>
      </c>
      <c r="B25" s="150" t="str">
        <f t="shared" si="1"/>
        <v>Age 75</v>
      </c>
      <c r="C25" s="179">
        <f t="shared" si="2"/>
        <v>21932.399999999998</v>
      </c>
      <c r="D25" s="179">
        <f t="shared" si="2"/>
        <v>23499</v>
      </c>
      <c r="E25" s="179">
        <f t="shared" si="2"/>
        <v>25065.600000000002</v>
      </c>
      <c r="F25" s="179">
        <f t="shared" si="2"/>
        <v>27154.400000000001</v>
      </c>
      <c r="G25" s="179">
        <f t="shared" si="2"/>
        <v>29243.200000000001</v>
      </c>
      <c r="H25" s="179">
        <f t="shared" si="2"/>
        <v>31332</v>
      </c>
      <c r="I25" s="179">
        <f t="shared" si="2"/>
        <v>33838.560000000005</v>
      </c>
      <c r="J25" s="179">
        <f t="shared" si="2"/>
        <v>36345.119999999995</v>
      </c>
      <c r="K25" s="180">
        <f t="shared" si="3"/>
        <v>38851.68</v>
      </c>
      <c r="L25" s="181"/>
      <c r="M25" s="184"/>
    </row>
    <row r="26" spans="1:13" x14ac:dyDescent="0.2">
      <c r="A26" s="150" t="str">
        <f t="shared" si="0"/>
        <v>FRA -2 Yrs</v>
      </c>
      <c r="B26" s="150" t="str">
        <f t="shared" si="1"/>
        <v>Age 76</v>
      </c>
      <c r="C26" s="179">
        <f t="shared" si="2"/>
        <v>21932.399999999998</v>
      </c>
      <c r="D26" s="179">
        <f t="shared" si="2"/>
        <v>23499</v>
      </c>
      <c r="E26" s="179">
        <f t="shared" si="2"/>
        <v>25065.600000000002</v>
      </c>
      <c r="F26" s="179">
        <f t="shared" si="2"/>
        <v>27154.400000000001</v>
      </c>
      <c r="G26" s="179">
        <f t="shared" si="2"/>
        <v>29243.200000000001</v>
      </c>
      <c r="H26" s="179">
        <f t="shared" si="2"/>
        <v>31332</v>
      </c>
      <c r="I26" s="179">
        <f t="shared" si="2"/>
        <v>33838.560000000005</v>
      </c>
      <c r="J26" s="179">
        <f t="shared" si="2"/>
        <v>36345.119999999995</v>
      </c>
      <c r="K26" s="180">
        <f t="shared" si="3"/>
        <v>38851.68</v>
      </c>
      <c r="L26" s="181"/>
      <c r="M26" s="184"/>
    </row>
    <row r="27" spans="1:13" x14ac:dyDescent="0.2">
      <c r="A27" s="150" t="str">
        <f t="shared" si="0"/>
        <v>FRA -2 Yrs</v>
      </c>
      <c r="B27" s="150" t="str">
        <f t="shared" si="1"/>
        <v>Age 77</v>
      </c>
      <c r="C27" s="179">
        <f t="shared" si="2"/>
        <v>21932.399999999998</v>
      </c>
      <c r="D27" s="179">
        <f t="shared" si="2"/>
        <v>23499</v>
      </c>
      <c r="E27" s="179">
        <f t="shared" si="2"/>
        <v>25065.600000000002</v>
      </c>
      <c r="F27" s="179">
        <f t="shared" si="2"/>
        <v>27154.400000000001</v>
      </c>
      <c r="G27" s="179">
        <f t="shared" si="2"/>
        <v>29243.200000000001</v>
      </c>
      <c r="H27" s="179">
        <f t="shared" si="2"/>
        <v>31332</v>
      </c>
      <c r="I27" s="179">
        <f t="shared" si="2"/>
        <v>33838.560000000005</v>
      </c>
      <c r="J27" s="179">
        <f t="shared" si="2"/>
        <v>36345.119999999995</v>
      </c>
      <c r="K27" s="180">
        <f t="shared" si="3"/>
        <v>38851.68</v>
      </c>
      <c r="L27" s="181"/>
      <c r="M27" s="184"/>
    </row>
    <row r="28" spans="1:13" x14ac:dyDescent="0.2">
      <c r="A28" s="150" t="str">
        <f t="shared" si="0"/>
        <v>FRA -2 Yrs</v>
      </c>
      <c r="B28" s="150" t="str">
        <f t="shared" si="1"/>
        <v>Age 78</v>
      </c>
      <c r="C28" s="179">
        <f t="shared" si="2"/>
        <v>21932.399999999998</v>
      </c>
      <c r="D28" s="179">
        <f t="shared" si="2"/>
        <v>23499</v>
      </c>
      <c r="E28" s="179">
        <f t="shared" si="2"/>
        <v>25065.600000000002</v>
      </c>
      <c r="F28" s="179">
        <f t="shared" si="2"/>
        <v>27154.400000000001</v>
      </c>
      <c r="G28" s="179">
        <f t="shared" si="2"/>
        <v>29243.200000000001</v>
      </c>
      <c r="H28" s="179">
        <f t="shared" si="2"/>
        <v>31332</v>
      </c>
      <c r="I28" s="179">
        <f t="shared" si="2"/>
        <v>33838.560000000005</v>
      </c>
      <c r="J28" s="179">
        <f t="shared" si="2"/>
        <v>36345.119999999995</v>
      </c>
      <c r="K28" s="180">
        <f t="shared" si="3"/>
        <v>38851.68</v>
      </c>
      <c r="L28" s="181"/>
      <c r="M28" s="184"/>
    </row>
    <row r="29" spans="1:13" x14ac:dyDescent="0.2">
      <c r="A29" s="150" t="str">
        <f t="shared" si="0"/>
        <v>FRA -2 Yrs</v>
      </c>
      <c r="B29" s="150" t="str">
        <f t="shared" si="1"/>
        <v>Age 79</v>
      </c>
      <c r="C29" s="179">
        <f t="shared" si="2"/>
        <v>21932.399999999998</v>
      </c>
      <c r="D29" s="179">
        <f t="shared" si="2"/>
        <v>23499</v>
      </c>
      <c r="E29" s="179">
        <f t="shared" si="2"/>
        <v>25065.600000000002</v>
      </c>
      <c r="F29" s="179">
        <f t="shared" si="2"/>
        <v>27154.400000000001</v>
      </c>
      <c r="G29" s="179">
        <f t="shared" si="2"/>
        <v>29243.200000000001</v>
      </c>
      <c r="H29" s="179">
        <f t="shared" si="2"/>
        <v>31332</v>
      </c>
      <c r="I29" s="179">
        <f t="shared" si="2"/>
        <v>33838.560000000005</v>
      </c>
      <c r="J29" s="179">
        <f t="shared" si="2"/>
        <v>36345.119999999995</v>
      </c>
      <c r="K29" s="180">
        <f t="shared" si="3"/>
        <v>38851.68</v>
      </c>
      <c r="L29" s="181"/>
      <c r="M29" s="184"/>
    </row>
    <row r="30" spans="1:13" x14ac:dyDescent="0.2">
      <c r="A30" s="150" t="str">
        <f t="shared" si="0"/>
        <v>FRA -2 Yrs</v>
      </c>
      <c r="B30" s="150" t="str">
        <f t="shared" si="1"/>
        <v>Age 80</v>
      </c>
      <c r="C30" s="179">
        <f t="shared" si="2"/>
        <v>21932.399999999998</v>
      </c>
      <c r="D30" s="179">
        <f t="shared" si="2"/>
        <v>23499</v>
      </c>
      <c r="E30" s="179">
        <f t="shared" si="2"/>
        <v>25065.600000000002</v>
      </c>
      <c r="F30" s="179">
        <f t="shared" si="2"/>
        <v>27154.400000000001</v>
      </c>
      <c r="G30" s="179">
        <f t="shared" si="2"/>
        <v>29243.200000000001</v>
      </c>
      <c r="H30" s="179">
        <f t="shared" si="2"/>
        <v>31332</v>
      </c>
      <c r="I30" s="179">
        <f t="shared" si="2"/>
        <v>33838.560000000005</v>
      </c>
      <c r="J30" s="179">
        <f t="shared" si="2"/>
        <v>36345.119999999995</v>
      </c>
      <c r="K30" s="180">
        <f t="shared" si="3"/>
        <v>38851.68</v>
      </c>
      <c r="L30" s="181"/>
      <c r="M30" s="184"/>
    </row>
    <row r="31" spans="1:13" x14ac:dyDescent="0.2">
      <c r="A31" s="150" t="str">
        <f t="shared" si="0"/>
        <v>FRA -2 Yrs</v>
      </c>
      <c r="B31" s="150" t="str">
        <f t="shared" si="1"/>
        <v>Age 81</v>
      </c>
      <c r="C31" s="179">
        <f t="shared" si="2"/>
        <v>21932.399999999998</v>
      </c>
      <c r="D31" s="179">
        <f t="shared" si="2"/>
        <v>23499</v>
      </c>
      <c r="E31" s="179">
        <f t="shared" si="2"/>
        <v>25065.600000000002</v>
      </c>
      <c r="F31" s="179">
        <f t="shared" si="2"/>
        <v>27154.400000000001</v>
      </c>
      <c r="G31" s="179">
        <f t="shared" si="2"/>
        <v>29243.200000000001</v>
      </c>
      <c r="H31" s="179">
        <f t="shared" si="2"/>
        <v>31332</v>
      </c>
      <c r="I31" s="179">
        <f t="shared" si="2"/>
        <v>33838.560000000005</v>
      </c>
      <c r="J31" s="179">
        <f t="shared" si="2"/>
        <v>36345.119999999995</v>
      </c>
      <c r="K31" s="180">
        <f t="shared" si="3"/>
        <v>38851.68</v>
      </c>
      <c r="L31" s="181"/>
      <c r="M31" s="184"/>
    </row>
    <row r="32" spans="1:13" x14ac:dyDescent="0.2">
      <c r="A32" s="150" t="str">
        <f t="shared" si="0"/>
        <v>FRA -2 Yrs</v>
      </c>
      <c r="B32" s="150" t="str">
        <f t="shared" si="1"/>
        <v>Age 82</v>
      </c>
      <c r="C32" s="179">
        <f t="shared" si="2"/>
        <v>21932.399999999998</v>
      </c>
      <c r="D32" s="179">
        <f t="shared" si="2"/>
        <v>23499</v>
      </c>
      <c r="E32" s="179">
        <f t="shared" si="2"/>
        <v>25065.600000000002</v>
      </c>
      <c r="F32" s="179">
        <f t="shared" si="2"/>
        <v>27154.400000000001</v>
      </c>
      <c r="G32" s="179">
        <f t="shared" si="2"/>
        <v>29243.200000000001</v>
      </c>
      <c r="H32" s="179">
        <f t="shared" si="2"/>
        <v>31332</v>
      </c>
      <c r="I32" s="179">
        <f t="shared" si="2"/>
        <v>33838.560000000005</v>
      </c>
      <c r="J32" s="179">
        <f t="shared" ref="J32:J49" si="4">J31*(1+$I$7)</f>
        <v>36345.119999999995</v>
      </c>
      <c r="K32" s="180">
        <f t="shared" si="3"/>
        <v>38851.68</v>
      </c>
      <c r="L32" s="181"/>
      <c r="M32" s="184"/>
    </row>
    <row r="33" spans="1:13" x14ac:dyDescent="0.2">
      <c r="A33" s="150" t="str">
        <f t="shared" si="0"/>
        <v>FRA -2 Yrs</v>
      </c>
      <c r="B33" s="150" t="str">
        <f t="shared" si="1"/>
        <v>Age 83</v>
      </c>
      <c r="C33" s="179">
        <f t="shared" si="2"/>
        <v>21932.399999999998</v>
      </c>
      <c r="D33" s="179">
        <f t="shared" si="2"/>
        <v>23499</v>
      </c>
      <c r="E33" s="179">
        <f t="shared" si="2"/>
        <v>25065.600000000002</v>
      </c>
      <c r="F33" s="179">
        <f t="shared" si="2"/>
        <v>27154.400000000001</v>
      </c>
      <c r="G33" s="179">
        <f t="shared" si="2"/>
        <v>29243.200000000001</v>
      </c>
      <c r="H33" s="179">
        <f t="shared" si="2"/>
        <v>31332</v>
      </c>
      <c r="I33" s="179">
        <f t="shared" si="2"/>
        <v>33838.560000000005</v>
      </c>
      <c r="J33" s="179">
        <f t="shared" si="4"/>
        <v>36345.119999999995</v>
      </c>
      <c r="K33" s="180">
        <f t="shared" si="3"/>
        <v>38851.68</v>
      </c>
      <c r="L33" s="181"/>
      <c r="M33" s="184"/>
    </row>
    <row r="34" spans="1:13" x14ac:dyDescent="0.2">
      <c r="A34" s="150" t="str">
        <f t="shared" si="0"/>
        <v>FRA -2 Yrs</v>
      </c>
      <c r="B34" s="150" t="str">
        <f t="shared" si="1"/>
        <v>Age 84</v>
      </c>
      <c r="C34" s="179">
        <f t="shared" si="2"/>
        <v>21932.399999999998</v>
      </c>
      <c r="D34" s="179">
        <f t="shared" si="2"/>
        <v>23499</v>
      </c>
      <c r="E34" s="179">
        <f t="shared" si="2"/>
        <v>25065.600000000002</v>
      </c>
      <c r="F34" s="179">
        <f t="shared" si="2"/>
        <v>27154.400000000001</v>
      </c>
      <c r="G34" s="179">
        <f t="shared" si="2"/>
        <v>29243.200000000001</v>
      </c>
      <c r="H34" s="179">
        <f t="shared" si="2"/>
        <v>31332</v>
      </c>
      <c r="I34" s="179">
        <f t="shared" si="2"/>
        <v>33838.560000000005</v>
      </c>
      <c r="J34" s="179">
        <f t="shared" si="4"/>
        <v>36345.119999999995</v>
      </c>
      <c r="K34" s="180">
        <f t="shared" si="3"/>
        <v>38851.68</v>
      </c>
      <c r="L34" s="181"/>
      <c r="M34" s="184"/>
    </row>
    <row r="35" spans="1:13" x14ac:dyDescent="0.2">
      <c r="A35" s="150" t="str">
        <f t="shared" si="0"/>
        <v>FRA -2 Yrs</v>
      </c>
      <c r="B35" s="150" t="str">
        <f t="shared" si="1"/>
        <v>Age 85</v>
      </c>
      <c r="C35" s="179">
        <f t="shared" si="2"/>
        <v>21932.399999999998</v>
      </c>
      <c r="D35" s="179">
        <f t="shared" si="2"/>
        <v>23499</v>
      </c>
      <c r="E35" s="179">
        <f t="shared" si="2"/>
        <v>25065.600000000002</v>
      </c>
      <c r="F35" s="179">
        <f t="shared" si="2"/>
        <v>27154.400000000001</v>
      </c>
      <c r="G35" s="179">
        <f t="shared" si="2"/>
        <v>29243.200000000001</v>
      </c>
      <c r="H35" s="179">
        <f t="shared" si="2"/>
        <v>31332</v>
      </c>
      <c r="I35" s="179">
        <f t="shared" si="2"/>
        <v>33838.560000000005</v>
      </c>
      <c r="J35" s="179">
        <f t="shared" si="4"/>
        <v>36345.119999999995</v>
      </c>
      <c r="K35" s="180">
        <f t="shared" si="3"/>
        <v>38851.68</v>
      </c>
      <c r="L35" s="181"/>
      <c r="M35" s="184"/>
    </row>
    <row r="36" spans="1:13" x14ac:dyDescent="0.2">
      <c r="A36" s="150" t="str">
        <f t="shared" si="0"/>
        <v>FRA -2 Yrs</v>
      </c>
      <c r="B36" s="150" t="str">
        <f t="shared" si="1"/>
        <v>Age 86</v>
      </c>
      <c r="C36" s="179">
        <f t="shared" si="2"/>
        <v>21932.399999999998</v>
      </c>
      <c r="D36" s="179">
        <f t="shared" si="2"/>
        <v>23499</v>
      </c>
      <c r="E36" s="179">
        <f t="shared" si="2"/>
        <v>25065.600000000002</v>
      </c>
      <c r="F36" s="179">
        <f t="shared" si="2"/>
        <v>27154.400000000001</v>
      </c>
      <c r="G36" s="179">
        <f t="shared" si="2"/>
        <v>29243.200000000001</v>
      </c>
      <c r="H36" s="179">
        <f t="shared" si="2"/>
        <v>31332</v>
      </c>
      <c r="I36" s="179">
        <f t="shared" si="2"/>
        <v>33838.560000000005</v>
      </c>
      <c r="J36" s="179">
        <f t="shared" si="4"/>
        <v>36345.119999999995</v>
      </c>
      <c r="K36" s="180">
        <f t="shared" si="3"/>
        <v>38851.68</v>
      </c>
      <c r="L36" s="181"/>
      <c r="M36" s="184"/>
    </row>
    <row r="37" spans="1:13" x14ac:dyDescent="0.2">
      <c r="A37" s="150" t="str">
        <f t="shared" si="0"/>
        <v>FRA -2 Yrs</v>
      </c>
      <c r="B37" s="150" t="str">
        <f t="shared" si="1"/>
        <v>Age 87</v>
      </c>
      <c r="C37" s="179">
        <f t="shared" si="2"/>
        <v>21932.399999999998</v>
      </c>
      <c r="D37" s="179">
        <f t="shared" si="2"/>
        <v>23499</v>
      </c>
      <c r="E37" s="179">
        <f t="shared" si="2"/>
        <v>25065.600000000002</v>
      </c>
      <c r="F37" s="179">
        <f t="shared" si="2"/>
        <v>27154.400000000001</v>
      </c>
      <c r="G37" s="179">
        <f t="shared" si="2"/>
        <v>29243.200000000001</v>
      </c>
      <c r="H37" s="179">
        <f t="shared" si="2"/>
        <v>31332</v>
      </c>
      <c r="I37" s="179">
        <f t="shared" si="2"/>
        <v>33838.560000000005</v>
      </c>
      <c r="J37" s="179">
        <f t="shared" si="4"/>
        <v>36345.119999999995</v>
      </c>
      <c r="K37" s="180">
        <f t="shared" si="3"/>
        <v>38851.68</v>
      </c>
      <c r="L37" s="181"/>
      <c r="M37" s="184"/>
    </row>
    <row r="38" spans="1:13" x14ac:dyDescent="0.2">
      <c r="A38" s="150" t="str">
        <f t="shared" si="0"/>
        <v>FRA -2 Yrs</v>
      </c>
      <c r="B38" s="150" t="str">
        <f t="shared" si="1"/>
        <v>Age 88</v>
      </c>
      <c r="C38" s="179">
        <f t="shared" si="2"/>
        <v>21932.399999999998</v>
      </c>
      <c r="D38" s="179">
        <f t="shared" si="2"/>
        <v>23499</v>
      </c>
      <c r="E38" s="179">
        <f t="shared" si="2"/>
        <v>25065.600000000002</v>
      </c>
      <c r="F38" s="179">
        <f t="shared" si="2"/>
        <v>27154.400000000001</v>
      </c>
      <c r="G38" s="179">
        <f t="shared" si="2"/>
        <v>29243.200000000001</v>
      </c>
      <c r="H38" s="179">
        <f t="shared" si="2"/>
        <v>31332</v>
      </c>
      <c r="I38" s="179">
        <f t="shared" si="2"/>
        <v>33838.560000000005</v>
      </c>
      <c r="J38" s="179">
        <f t="shared" si="4"/>
        <v>36345.119999999995</v>
      </c>
      <c r="K38" s="180">
        <f t="shared" si="3"/>
        <v>38851.68</v>
      </c>
    </row>
    <row r="39" spans="1:13" x14ac:dyDescent="0.2">
      <c r="A39" s="150" t="str">
        <f t="shared" si="0"/>
        <v>FRA -2 Yrs</v>
      </c>
      <c r="B39" s="150" t="str">
        <f t="shared" si="1"/>
        <v>Age 89</v>
      </c>
      <c r="C39" s="179">
        <f t="shared" si="2"/>
        <v>21932.399999999998</v>
      </c>
      <c r="D39" s="179">
        <f t="shared" si="2"/>
        <v>23499</v>
      </c>
      <c r="E39" s="179">
        <f t="shared" si="2"/>
        <v>25065.600000000002</v>
      </c>
      <c r="F39" s="179">
        <f t="shared" si="2"/>
        <v>27154.400000000001</v>
      </c>
      <c r="G39" s="179">
        <f t="shared" si="2"/>
        <v>29243.200000000001</v>
      </c>
      <c r="H39" s="179">
        <f t="shared" si="2"/>
        <v>31332</v>
      </c>
      <c r="I39" s="179">
        <f t="shared" si="2"/>
        <v>33838.560000000005</v>
      </c>
      <c r="J39" s="179">
        <f t="shared" si="4"/>
        <v>36345.119999999995</v>
      </c>
      <c r="K39" s="180">
        <f t="shared" si="3"/>
        <v>38851.68</v>
      </c>
    </row>
    <row r="40" spans="1:13" x14ac:dyDescent="0.2">
      <c r="A40" s="150" t="str">
        <f t="shared" si="0"/>
        <v>FRA -2 Yrs</v>
      </c>
      <c r="B40" s="150" t="str">
        <f t="shared" si="1"/>
        <v>Age 90</v>
      </c>
      <c r="C40" s="179">
        <f t="shared" si="2"/>
        <v>21932.399999999998</v>
      </c>
      <c r="D40" s="179">
        <f t="shared" si="2"/>
        <v>23499</v>
      </c>
      <c r="E40" s="179">
        <f t="shared" si="2"/>
        <v>25065.600000000002</v>
      </c>
      <c r="F40" s="179">
        <f t="shared" si="2"/>
        <v>27154.400000000001</v>
      </c>
      <c r="G40" s="179">
        <f t="shared" si="2"/>
        <v>29243.200000000001</v>
      </c>
      <c r="H40" s="179">
        <f t="shared" si="2"/>
        <v>31332</v>
      </c>
      <c r="I40" s="179">
        <f t="shared" si="2"/>
        <v>33838.560000000005</v>
      </c>
      <c r="J40" s="179">
        <f t="shared" si="4"/>
        <v>36345.119999999995</v>
      </c>
      <c r="K40" s="180">
        <f t="shared" si="3"/>
        <v>38851.68</v>
      </c>
    </row>
    <row r="41" spans="1:13" x14ac:dyDescent="0.2">
      <c r="A41" s="150" t="str">
        <f t="shared" si="0"/>
        <v>FRA -2 Yrs</v>
      </c>
      <c r="B41" s="150" t="str">
        <f t="shared" si="1"/>
        <v>Age 91</v>
      </c>
      <c r="C41" s="179">
        <f t="shared" si="2"/>
        <v>21932.399999999998</v>
      </c>
      <c r="D41" s="179">
        <f t="shared" si="2"/>
        <v>23499</v>
      </c>
      <c r="E41" s="179">
        <f t="shared" si="2"/>
        <v>25065.600000000002</v>
      </c>
      <c r="F41" s="179">
        <f t="shared" si="2"/>
        <v>27154.400000000001</v>
      </c>
      <c r="G41" s="179">
        <f t="shared" si="2"/>
        <v>29243.200000000001</v>
      </c>
      <c r="H41" s="179">
        <f t="shared" si="2"/>
        <v>31332</v>
      </c>
      <c r="I41" s="179">
        <f t="shared" si="2"/>
        <v>33838.560000000005</v>
      </c>
      <c r="J41" s="179">
        <f t="shared" si="4"/>
        <v>36345.119999999995</v>
      </c>
      <c r="K41" s="180">
        <f t="shared" si="3"/>
        <v>38851.68</v>
      </c>
    </row>
    <row r="42" spans="1:13" x14ac:dyDescent="0.2">
      <c r="A42" s="150" t="str">
        <f t="shared" si="0"/>
        <v>FRA -2 Yrs</v>
      </c>
      <c r="B42" s="150" t="str">
        <f t="shared" si="1"/>
        <v>Age 92</v>
      </c>
      <c r="C42" s="179">
        <f t="shared" si="2"/>
        <v>21932.399999999998</v>
      </c>
      <c r="D42" s="179">
        <f t="shared" si="2"/>
        <v>23499</v>
      </c>
      <c r="E42" s="179">
        <f t="shared" si="2"/>
        <v>25065.600000000002</v>
      </c>
      <c r="F42" s="179">
        <f t="shared" si="2"/>
        <v>27154.400000000001</v>
      </c>
      <c r="G42" s="179">
        <f t="shared" si="2"/>
        <v>29243.200000000001</v>
      </c>
      <c r="H42" s="179">
        <f t="shared" si="2"/>
        <v>31332</v>
      </c>
      <c r="I42" s="179">
        <f t="shared" si="2"/>
        <v>33838.560000000005</v>
      </c>
      <c r="J42" s="179">
        <f t="shared" si="4"/>
        <v>36345.119999999995</v>
      </c>
      <c r="K42" s="180">
        <f t="shared" si="3"/>
        <v>38851.68</v>
      </c>
    </row>
    <row r="43" spans="1:13" x14ac:dyDescent="0.2">
      <c r="A43" s="150" t="str">
        <f t="shared" si="0"/>
        <v>FRA -2 Yrs</v>
      </c>
      <c r="B43" s="150" t="str">
        <f t="shared" si="1"/>
        <v>Age 93</v>
      </c>
      <c r="C43" s="179">
        <f t="shared" si="2"/>
        <v>21932.399999999998</v>
      </c>
      <c r="D43" s="179">
        <f t="shared" si="2"/>
        <v>23499</v>
      </c>
      <c r="E43" s="179">
        <f t="shared" si="2"/>
        <v>25065.600000000002</v>
      </c>
      <c r="F43" s="179">
        <f t="shared" si="2"/>
        <v>27154.400000000001</v>
      </c>
      <c r="G43" s="179">
        <f t="shared" si="2"/>
        <v>29243.200000000001</v>
      </c>
      <c r="H43" s="179">
        <f t="shared" si="2"/>
        <v>31332</v>
      </c>
      <c r="I43" s="179">
        <f t="shared" si="2"/>
        <v>33838.560000000005</v>
      </c>
      <c r="J43" s="179">
        <f t="shared" si="4"/>
        <v>36345.119999999995</v>
      </c>
      <c r="K43" s="180">
        <f t="shared" si="3"/>
        <v>38851.68</v>
      </c>
    </row>
    <row r="44" spans="1:13" x14ac:dyDescent="0.2">
      <c r="A44" s="150" t="str">
        <f t="shared" si="0"/>
        <v>FRA -2 Yrs</v>
      </c>
      <c r="B44" s="150" t="str">
        <f t="shared" si="1"/>
        <v>Age 94</v>
      </c>
      <c r="C44" s="179">
        <f t="shared" si="2"/>
        <v>21932.399999999998</v>
      </c>
      <c r="D44" s="179">
        <f t="shared" si="2"/>
        <v>23499</v>
      </c>
      <c r="E44" s="179">
        <f t="shared" si="2"/>
        <v>25065.600000000002</v>
      </c>
      <c r="F44" s="179">
        <f t="shared" si="2"/>
        <v>27154.400000000001</v>
      </c>
      <c r="G44" s="179">
        <f t="shared" si="2"/>
        <v>29243.200000000001</v>
      </c>
      <c r="H44" s="179">
        <f t="shared" si="2"/>
        <v>31332</v>
      </c>
      <c r="I44" s="179">
        <f t="shared" si="2"/>
        <v>33838.560000000005</v>
      </c>
      <c r="J44" s="179">
        <f t="shared" si="4"/>
        <v>36345.119999999995</v>
      </c>
      <c r="K44" s="180">
        <f t="shared" si="3"/>
        <v>38851.68</v>
      </c>
    </row>
    <row r="45" spans="1:13" x14ac:dyDescent="0.2">
      <c r="A45" s="150" t="str">
        <f t="shared" si="0"/>
        <v>FRA -2 Yrs</v>
      </c>
      <c r="B45" s="150" t="str">
        <f t="shared" si="1"/>
        <v>Age 95</v>
      </c>
      <c r="C45" s="179">
        <f t="shared" si="2"/>
        <v>21932.399999999998</v>
      </c>
      <c r="D45" s="179">
        <f t="shared" si="2"/>
        <v>23499</v>
      </c>
      <c r="E45" s="179">
        <f t="shared" si="2"/>
        <v>25065.600000000002</v>
      </c>
      <c r="F45" s="179">
        <f t="shared" si="2"/>
        <v>27154.400000000001</v>
      </c>
      <c r="G45" s="179">
        <f t="shared" si="2"/>
        <v>29243.200000000001</v>
      </c>
      <c r="H45" s="179">
        <f t="shared" si="2"/>
        <v>31332</v>
      </c>
      <c r="I45" s="179">
        <f t="shared" si="2"/>
        <v>33838.560000000005</v>
      </c>
      <c r="J45" s="179">
        <f t="shared" si="4"/>
        <v>36345.119999999995</v>
      </c>
      <c r="K45" s="180">
        <f t="shared" si="3"/>
        <v>38851.68</v>
      </c>
    </row>
    <row r="46" spans="1:13" x14ac:dyDescent="0.2">
      <c r="A46" s="150" t="str">
        <f t="shared" si="0"/>
        <v>FRA -2 Yrs</v>
      </c>
      <c r="B46" s="150" t="str">
        <f t="shared" si="1"/>
        <v>Age 96</v>
      </c>
      <c r="C46" s="179">
        <f t="shared" si="2"/>
        <v>21932.399999999998</v>
      </c>
      <c r="D46" s="179">
        <f t="shared" si="2"/>
        <v>23499</v>
      </c>
      <c r="E46" s="179">
        <f t="shared" si="2"/>
        <v>25065.600000000002</v>
      </c>
      <c r="F46" s="179">
        <f t="shared" si="2"/>
        <v>27154.400000000001</v>
      </c>
      <c r="G46" s="179">
        <f t="shared" si="2"/>
        <v>29243.200000000001</v>
      </c>
      <c r="H46" s="179">
        <f t="shared" si="2"/>
        <v>31332</v>
      </c>
      <c r="I46" s="179">
        <f t="shared" si="2"/>
        <v>33838.560000000005</v>
      </c>
      <c r="J46" s="179">
        <f t="shared" si="4"/>
        <v>36345.119999999995</v>
      </c>
      <c r="K46" s="180">
        <f t="shared" si="3"/>
        <v>38851.68</v>
      </c>
    </row>
    <row r="47" spans="1:13" x14ac:dyDescent="0.2">
      <c r="A47" s="150" t="str">
        <f t="shared" si="0"/>
        <v>FRA -2 Yrs</v>
      </c>
      <c r="B47" s="150" t="str">
        <f t="shared" ref="B47:B49" si="5">"Age "&amp;RIGHT(B46,2)+1</f>
        <v>Age 97</v>
      </c>
      <c r="C47" s="179">
        <f t="shared" si="2"/>
        <v>21932.399999999998</v>
      </c>
      <c r="D47" s="179">
        <f t="shared" si="2"/>
        <v>23499</v>
      </c>
      <c r="E47" s="179">
        <f t="shared" si="2"/>
        <v>25065.600000000002</v>
      </c>
      <c r="F47" s="179">
        <f t="shared" si="2"/>
        <v>27154.400000000001</v>
      </c>
      <c r="G47" s="179">
        <f t="shared" si="2"/>
        <v>29243.200000000001</v>
      </c>
      <c r="H47" s="179">
        <f t="shared" si="2"/>
        <v>31332</v>
      </c>
      <c r="I47" s="179">
        <f t="shared" si="2"/>
        <v>33838.560000000005</v>
      </c>
      <c r="J47" s="179">
        <f t="shared" si="4"/>
        <v>36345.119999999995</v>
      </c>
      <c r="K47" s="180">
        <f t="shared" si="3"/>
        <v>38851.68</v>
      </c>
    </row>
    <row r="48" spans="1:13" x14ac:dyDescent="0.2">
      <c r="A48" s="150" t="str">
        <f t="shared" si="0"/>
        <v>FRA -2 Yrs</v>
      </c>
      <c r="B48" s="150" t="str">
        <f t="shared" si="5"/>
        <v>Age 98</v>
      </c>
      <c r="C48" s="179">
        <f t="shared" si="2"/>
        <v>21932.399999999998</v>
      </c>
      <c r="D48" s="179">
        <f t="shared" si="2"/>
        <v>23499</v>
      </c>
      <c r="E48" s="179">
        <f t="shared" si="2"/>
        <v>25065.600000000002</v>
      </c>
      <c r="F48" s="179">
        <f t="shared" si="2"/>
        <v>27154.400000000001</v>
      </c>
      <c r="G48" s="179">
        <f t="shared" si="2"/>
        <v>29243.200000000001</v>
      </c>
      <c r="H48" s="179">
        <f t="shared" si="2"/>
        <v>31332</v>
      </c>
      <c r="I48" s="179">
        <f t="shared" si="2"/>
        <v>33838.560000000005</v>
      </c>
      <c r="J48" s="179">
        <f t="shared" si="4"/>
        <v>36345.119999999995</v>
      </c>
      <c r="K48" s="180">
        <f t="shared" si="3"/>
        <v>38851.68</v>
      </c>
    </row>
    <row r="49" spans="1:18" x14ac:dyDescent="0.2">
      <c r="A49" s="150" t="str">
        <f t="shared" si="0"/>
        <v>FRA -2 Yrs</v>
      </c>
      <c r="B49" s="150" t="str">
        <f t="shared" si="5"/>
        <v>Age 99</v>
      </c>
      <c r="C49" s="179">
        <f t="shared" si="2"/>
        <v>21932.399999999998</v>
      </c>
      <c r="D49" s="179">
        <f t="shared" si="2"/>
        <v>23499</v>
      </c>
      <c r="E49" s="179">
        <f t="shared" si="2"/>
        <v>25065.600000000002</v>
      </c>
      <c r="F49" s="179">
        <f t="shared" si="2"/>
        <v>27154.400000000001</v>
      </c>
      <c r="G49" s="179">
        <f t="shared" si="2"/>
        <v>29243.200000000001</v>
      </c>
      <c r="H49" s="179">
        <f t="shared" si="2"/>
        <v>31332</v>
      </c>
      <c r="I49" s="179">
        <f t="shared" si="2"/>
        <v>33838.560000000005</v>
      </c>
      <c r="J49" s="179">
        <f t="shared" si="4"/>
        <v>36345.119999999995</v>
      </c>
      <c r="K49" s="180">
        <f t="shared" si="3"/>
        <v>38851.68</v>
      </c>
    </row>
    <row r="50" spans="1:18" x14ac:dyDescent="0.2">
      <c r="M50" s="185"/>
    </row>
    <row r="51" spans="1:18" ht="13.5" thickBot="1" x14ac:dyDescent="0.25">
      <c r="A51" s="150" t="s">
        <v>12</v>
      </c>
      <c r="C51" s="186" t="str">
        <f t="shared" ref="C51:K51" si="6">C10</f>
        <v>FRA-5</v>
      </c>
      <c r="D51" s="187" t="str">
        <f t="shared" si="6"/>
        <v>FRA-4</v>
      </c>
      <c r="E51" s="187" t="str">
        <f t="shared" si="6"/>
        <v>FRA-3</v>
      </c>
      <c r="F51" s="187" t="str">
        <f t="shared" si="6"/>
        <v>FRA-2</v>
      </c>
      <c r="G51" s="187" t="str">
        <f t="shared" si="6"/>
        <v>FRA-1</v>
      </c>
      <c r="H51" s="187" t="str">
        <f t="shared" si="6"/>
        <v>FRA</v>
      </c>
      <c r="I51" s="187" t="str">
        <f t="shared" si="6"/>
        <v>FRA+1</v>
      </c>
      <c r="J51" s="187" t="str">
        <f t="shared" si="6"/>
        <v>FRA+2</v>
      </c>
      <c r="K51" s="187" t="str">
        <f t="shared" si="6"/>
        <v>FRA+3</v>
      </c>
      <c r="O51" s="188" t="str">
        <f>'Breakeven Years'!J10</f>
        <v>FRA-5</v>
      </c>
      <c r="P51" s="188" t="str">
        <f>'Breakeven Years'!J11</f>
        <v>FRA+3</v>
      </c>
      <c r="Q51" s="150" t="s">
        <v>29</v>
      </c>
      <c r="R51" s="189"/>
    </row>
    <row r="52" spans="1:18" x14ac:dyDescent="0.2">
      <c r="B52" s="150" t="str">
        <f>B11</f>
        <v>Age 61</v>
      </c>
      <c r="C52" s="190">
        <f>NPV($D$6,C$11:C11)</f>
        <v>21932.399999999998</v>
      </c>
      <c r="D52" s="190">
        <f>NPV($D$6,D$11:D11)</f>
        <v>0</v>
      </c>
      <c r="E52" s="190">
        <f>NPV($D$6,E$11:E11)</f>
        <v>0</v>
      </c>
      <c r="F52" s="190">
        <f>NPV($D$6,F$11:F11)</f>
        <v>0</v>
      </c>
      <c r="G52" s="190">
        <f>NPV($D$6,G$11:G11)</f>
        <v>0</v>
      </c>
      <c r="H52" s="190">
        <f>NPV($D$6,H$11:H11)</f>
        <v>0</v>
      </c>
      <c r="I52" s="190">
        <f>NPV($D$6,I$11:I11)</f>
        <v>0</v>
      </c>
      <c r="J52" s="190">
        <f>NPV($D$6,J$11:J11)</f>
        <v>0</v>
      </c>
      <c r="K52" s="190">
        <f>NPV($D$6,K$11:K11)</f>
        <v>0</v>
      </c>
      <c r="L52" s="150" t="str">
        <f>N52</f>
        <v>Age 61</v>
      </c>
      <c r="M52" s="189"/>
      <c r="N52" s="191" t="str">
        <f t="shared" ref="N52:N90" si="7">B11</f>
        <v>Age 61</v>
      </c>
      <c r="O52" s="192">
        <f t="shared" ref="O52:O90" si="8">VLOOKUP(N52,Data,$T$4+1,FALSE)</f>
        <v>21932.399999999998</v>
      </c>
      <c r="P52" s="192">
        <f t="shared" ref="P52:P90" si="9">VLOOKUP(N52,Data,$T$5+1,FALSE)</f>
        <v>0</v>
      </c>
      <c r="Q52" s="193" t="str">
        <f>IF(O52&gt;=P52,"",VALUE(RIGHT(N52,2)))</f>
        <v/>
      </c>
      <c r="R52" s="194">
        <f>MAX(R54:R90)</f>
        <v>79</v>
      </c>
    </row>
    <row r="53" spans="1:18" x14ac:dyDescent="0.2">
      <c r="B53" s="150" t="str">
        <f t="shared" ref="B53:B90" si="10">B12</f>
        <v>Age 62</v>
      </c>
      <c r="C53" s="190">
        <f>NPV($D$6,C$11:C12)</f>
        <v>43864.799999999996</v>
      </c>
      <c r="D53" s="190">
        <f>NPV($D$6,D$11:D12)</f>
        <v>23499</v>
      </c>
      <c r="E53" s="190">
        <f>NPV($D$6,E$11:E12)</f>
        <v>0</v>
      </c>
      <c r="F53" s="190">
        <f>NPV($D$6,F$11:F12)</f>
        <v>0</v>
      </c>
      <c r="G53" s="190">
        <f>NPV($D$6,G$11:G12)</f>
        <v>0</v>
      </c>
      <c r="H53" s="190">
        <f>NPV($D$6,H$11:H12)</f>
        <v>0</v>
      </c>
      <c r="I53" s="190">
        <f>NPV($D$6,I$11:I12)</f>
        <v>0</v>
      </c>
      <c r="J53" s="190">
        <f>NPV($D$6,J$11:J12)</f>
        <v>0</v>
      </c>
      <c r="K53" s="190">
        <f>NPV($D$6,K$11:K12)</f>
        <v>0</v>
      </c>
      <c r="L53" s="150" t="str">
        <f t="shared" ref="L53:L90" si="11">N53</f>
        <v>Age 62</v>
      </c>
      <c r="M53" s="189"/>
      <c r="N53" s="195" t="str">
        <f t="shared" si="7"/>
        <v>Age 62</v>
      </c>
      <c r="O53" s="181">
        <f t="shared" si="8"/>
        <v>43864.799999999996</v>
      </c>
      <c r="P53" s="181">
        <f t="shared" si="9"/>
        <v>0</v>
      </c>
      <c r="Q53" s="196" t="str">
        <f t="shared" ref="Q53:Q63" si="12">IF(O53&gt;=P53,"",VALUE(RIGHT(N53,2)))</f>
        <v/>
      </c>
    </row>
    <row r="54" spans="1:18" x14ac:dyDescent="0.2">
      <c r="B54" s="150" t="str">
        <f t="shared" si="10"/>
        <v>Age 63</v>
      </c>
      <c r="C54" s="190">
        <f>NPV($D$6,C$11:C13)</f>
        <v>65797.2</v>
      </c>
      <c r="D54" s="190">
        <f>NPV($D$6,D$11:D13)</f>
        <v>46998</v>
      </c>
      <c r="E54" s="190">
        <f>NPV($D$6,E$11:E13)</f>
        <v>25065.600000000002</v>
      </c>
      <c r="F54" s="190">
        <f>NPV($D$6,F$11:F13)</f>
        <v>0</v>
      </c>
      <c r="G54" s="190">
        <f>NPV($D$6,G$11:G13)</f>
        <v>0</v>
      </c>
      <c r="H54" s="190">
        <f>NPV($D$6,H$11:H13)</f>
        <v>0</v>
      </c>
      <c r="I54" s="190">
        <f>NPV($D$6,I$11:I13)</f>
        <v>0</v>
      </c>
      <c r="J54" s="190">
        <f>NPV($D$6,J$11:J13)</f>
        <v>0</v>
      </c>
      <c r="K54" s="190">
        <f>NPV($D$6,K$11:K13)</f>
        <v>0</v>
      </c>
      <c r="L54" s="150" t="str">
        <f t="shared" si="11"/>
        <v>Age 63</v>
      </c>
      <c r="M54" s="189"/>
      <c r="N54" s="195" t="str">
        <f t="shared" si="7"/>
        <v>Age 63</v>
      </c>
      <c r="O54" s="181">
        <f t="shared" si="8"/>
        <v>65797.2</v>
      </c>
      <c r="P54" s="181">
        <f t="shared" si="9"/>
        <v>0</v>
      </c>
      <c r="Q54" s="196" t="str">
        <f t="shared" si="12"/>
        <v/>
      </c>
      <c r="R54" s="150" t="str">
        <f t="shared" ref="R54:R90" si="13">IF(AND(Q54&gt;0,Q53=""),Q54,"")</f>
        <v/>
      </c>
    </row>
    <row r="55" spans="1:18" x14ac:dyDescent="0.2">
      <c r="B55" s="150" t="str">
        <f t="shared" si="10"/>
        <v>Age 64</v>
      </c>
      <c r="C55" s="190">
        <f>NPV($D$6,C$11:C14)</f>
        <v>87729.599999999991</v>
      </c>
      <c r="D55" s="190">
        <f>NPV($D$6,D$11:D14)</f>
        <v>70497</v>
      </c>
      <c r="E55" s="190">
        <f>NPV($D$6,E$11:E14)</f>
        <v>50131.200000000004</v>
      </c>
      <c r="F55" s="190">
        <f>NPV($D$6,F$11:F14)</f>
        <v>27154.400000000001</v>
      </c>
      <c r="G55" s="190">
        <f>NPV($D$6,G$11:G14)</f>
        <v>0</v>
      </c>
      <c r="H55" s="190">
        <f>NPV($D$6,H$11:H14)</f>
        <v>0</v>
      </c>
      <c r="I55" s="190">
        <f>NPV($D$6,I$11:I14)</f>
        <v>0</v>
      </c>
      <c r="J55" s="190">
        <f>NPV($D$6,J$11:J14)</f>
        <v>0</v>
      </c>
      <c r="K55" s="190">
        <f>NPV($D$6,K$11:K14)</f>
        <v>0</v>
      </c>
      <c r="L55" s="150" t="str">
        <f t="shared" si="11"/>
        <v>Age 64</v>
      </c>
      <c r="M55" s="189"/>
      <c r="N55" s="195" t="str">
        <f t="shared" si="7"/>
        <v>Age 64</v>
      </c>
      <c r="O55" s="181">
        <f t="shared" si="8"/>
        <v>87729.599999999991</v>
      </c>
      <c r="P55" s="181">
        <f t="shared" si="9"/>
        <v>0</v>
      </c>
      <c r="Q55" s="196" t="str">
        <f t="shared" si="12"/>
        <v/>
      </c>
      <c r="R55" s="150" t="str">
        <f t="shared" si="13"/>
        <v/>
      </c>
    </row>
    <row r="56" spans="1:18" x14ac:dyDescent="0.2">
      <c r="B56" s="150" t="str">
        <f t="shared" si="10"/>
        <v>Age 65</v>
      </c>
      <c r="C56" s="190">
        <f>NPV($D$6,C$11:C15)</f>
        <v>109661.99999999999</v>
      </c>
      <c r="D56" s="190">
        <f>NPV($D$6,D$11:D15)</f>
        <v>93996</v>
      </c>
      <c r="E56" s="190">
        <f>NPV($D$6,E$11:E15)</f>
        <v>75196.800000000003</v>
      </c>
      <c r="F56" s="190">
        <f>NPV($D$6,F$11:F15)</f>
        <v>54308.800000000003</v>
      </c>
      <c r="G56" s="190">
        <f>NPV($D$6,G$11:G15)</f>
        <v>29243.200000000001</v>
      </c>
      <c r="H56" s="190">
        <f>NPV($D$6,H$11:H15)</f>
        <v>0</v>
      </c>
      <c r="I56" s="190">
        <f>NPV($D$6,I$11:I15)</f>
        <v>0</v>
      </c>
      <c r="J56" s="190">
        <f>NPV($D$6,J$11:J15)</f>
        <v>0</v>
      </c>
      <c r="K56" s="190">
        <f>NPV($D$6,K$11:K15)</f>
        <v>0</v>
      </c>
      <c r="L56" s="150" t="str">
        <f t="shared" si="11"/>
        <v>Age 65</v>
      </c>
      <c r="M56" s="189"/>
      <c r="N56" s="195" t="str">
        <f t="shared" si="7"/>
        <v>Age 65</v>
      </c>
      <c r="O56" s="181">
        <f t="shared" si="8"/>
        <v>109661.99999999999</v>
      </c>
      <c r="P56" s="181">
        <f t="shared" si="9"/>
        <v>0</v>
      </c>
      <c r="Q56" s="196" t="str">
        <f t="shared" si="12"/>
        <v/>
      </c>
      <c r="R56" s="150" t="str">
        <f t="shared" si="13"/>
        <v/>
      </c>
    </row>
    <row r="57" spans="1:18" x14ac:dyDescent="0.2">
      <c r="B57" s="150" t="str">
        <f t="shared" si="10"/>
        <v>Age 66</v>
      </c>
      <c r="C57" s="190">
        <f>NPV($D$6,C$11:C16)</f>
        <v>131594.4</v>
      </c>
      <c r="D57" s="190">
        <f>NPV($D$6,D$11:D16)</f>
        <v>117495</v>
      </c>
      <c r="E57" s="190">
        <f>NPV($D$6,E$11:E16)</f>
        <v>100262.40000000001</v>
      </c>
      <c r="F57" s="190">
        <f>NPV($D$6,F$11:F16)</f>
        <v>81463.200000000012</v>
      </c>
      <c r="G57" s="190">
        <f>NPV($D$6,G$11:G16)</f>
        <v>58486.400000000001</v>
      </c>
      <c r="H57" s="190">
        <f>NPV($D$6,H$11:H16)</f>
        <v>31332</v>
      </c>
      <c r="I57" s="190">
        <f>NPV($D$6,I$11:I16)</f>
        <v>0</v>
      </c>
      <c r="J57" s="190">
        <f>NPV($D$6,J$11:J16)</f>
        <v>0</v>
      </c>
      <c r="K57" s="190">
        <f>NPV($D$6,K$11:K16)</f>
        <v>0</v>
      </c>
      <c r="L57" s="150" t="str">
        <f t="shared" si="11"/>
        <v>Age 66</v>
      </c>
      <c r="M57" s="189"/>
      <c r="N57" s="195" t="str">
        <f t="shared" si="7"/>
        <v>Age 66</v>
      </c>
      <c r="O57" s="181">
        <f t="shared" si="8"/>
        <v>131594.4</v>
      </c>
      <c r="P57" s="181">
        <f t="shared" si="9"/>
        <v>0</v>
      </c>
      <c r="Q57" s="196" t="str">
        <f t="shared" si="12"/>
        <v/>
      </c>
      <c r="R57" s="150" t="str">
        <f t="shared" si="13"/>
        <v/>
      </c>
    </row>
    <row r="58" spans="1:18" x14ac:dyDescent="0.2">
      <c r="B58" s="150" t="str">
        <f t="shared" si="10"/>
        <v>Age 67</v>
      </c>
      <c r="C58" s="190">
        <f>NPV($D$6,C$11:C17)</f>
        <v>153526.79999999999</v>
      </c>
      <c r="D58" s="190">
        <f>NPV($D$6,D$11:D17)</f>
        <v>140994</v>
      </c>
      <c r="E58" s="190">
        <f>NPV($D$6,E$11:E17)</f>
        <v>125328.00000000001</v>
      </c>
      <c r="F58" s="190">
        <f>NPV($D$6,F$11:F17)</f>
        <v>108617.60000000001</v>
      </c>
      <c r="G58" s="190">
        <f>NPV($D$6,G$11:G17)</f>
        <v>87729.600000000006</v>
      </c>
      <c r="H58" s="190">
        <f>NPV($D$6,H$11:H17)</f>
        <v>62664</v>
      </c>
      <c r="I58" s="190">
        <f>NPV($D$6,I$11:I17)</f>
        <v>33838.560000000005</v>
      </c>
      <c r="J58" s="190">
        <f>NPV($D$6,J$11:J17)</f>
        <v>0</v>
      </c>
      <c r="K58" s="190">
        <f>NPV($D$6,K$11:K17)</f>
        <v>0</v>
      </c>
      <c r="L58" s="150" t="str">
        <f t="shared" si="11"/>
        <v>Age 67</v>
      </c>
      <c r="M58" s="189"/>
      <c r="N58" s="195" t="str">
        <f t="shared" si="7"/>
        <v>Age 67</v>
      </c>
      <c r="O58" s="181">
        <f t="shared" si="8"/>
        <v>153526.79999999999</v>
      </c>
      <c r="P58" s="181">
        <f t="shared" si="9"/>
        <v>0</v>
      </c>
      <c r="Q58" s="196" t="str">
        <f t="shared" si="12"/>
        <v/>
      </c>
      <c r="R58" s="150" t="str">
        <f t="shared" si="13"/>
        <v/>
      </c>
    </row>
    <row r="59" spans="1:18" x14ac:dyDescent="0.2">
      <c r="B59" s="150" t="str">
        <f t="shared" si="10"/>
        <v>Age 68</v>
      </c>
      <c r="C59" s="190">
        <f>NPV($D$6,C$11:C18)</f>
        <v>175459.19999999998</v>
      </c>
      <c r="D59" s="190">
        <f>NPV($D$6,D$11:D18)</f>
        <v>164493</v>
      </c>
      <c r="E59" s="190">
        <f>NPV($D$6,E$11:E18)</f>
        <v>150393.60000000001</v>
      </c>
      <c r="F59" s="190">
        <f>NPV($D$6,F$11:F18)</f>
        <v>135772</v>
      </c>
      <c r="G59" s="190">
        <f>NPV($D$6,G$11:G18)</f>
        <v>116972.8</v>
      </c>
      <c r="H59" s="190">
        <f>NPV($D$6,H$11:H18)</f>
        <v>93996</v>
      </c>
      <c r="I59" s="190">
        <f>NPV($D$6,I$11:I18)</f>
        <v>67677.12000000001</v>
      </c>
      <c r="J59" s="190">
        <f>NPV($D$6,J$11:J18)</f>
        <v>36345.119999999995</v>
      </c>
      <c r="K59" s="190">
        <f>NPV($D$6,K$11:K18)</f>
        <v>0</v>
      </c>
      <c r="L59" s="150" t="str">
        <f t="shared" si="11"/>
        <v>Age 68</v>
      </c>
      <c r="M59" s="189"/>
      <c r="N59" s="195" t="str">
        <f t="shared" si="7"/>
        <v>Age 68</v>
      </c>
      <c r="O59" s="181">
        <f t="shared" si="8"/>
        <v>175459.19999999998</v>
      </c>
      <c r="P59" s="181">
        <f t="shared" si="9"/>
        <v>0</v>
      </c>
      <c r="Q59" s="196" t="str">
        <f t="shared" si="12"/>
        <v/>
      </c>
      <c r="R59" s="150" t="str">
        <f t="shared" si="13"/>
        <v/>
      </c>
    </row>
    <row r="60" spans="1:18" x14ac:dyDescent="0.2">
      <c r="B60" s="150" t="str">
        <f t="shared" si="10"/>
        <v>Age 69</v>
      </c>
      <c r="C60" s="190">
        <f>NPV($D$6,C$11:C19)</f>
        <v>197391.59999999998</v>
      </c>
      <c r="D60" s="190">
        <f>NPV($D$6,D$11:D19)</f>
        <v>187992</v>
      </c>
      <c r="E60" s="190">
        <f>NPV($D$6,E$11:E19)</f>
        <v>175459.20000000001</v>
      </c>
      <c r="F60" s="190">
        <f>NPV($D$6,F$11:F19)</f>
        <v>162926.39999999999</v>
      </c>
      <c r="G60" s="190">
        <f>NPV($D$6,G$11:G19)</f>
        <v>146216</v>
      </c>
      <c r="H60" s="190">
        <f>NPV($D$6,H$11:H19)</f>
        <v>125328</v>
      </c>
      <c r="I60" s="190">
        <f>NPV($D$6,I$11:I19)</f>
        <v>101515.68000000002</v>
      </c>
      <c r="J60" s="190">
        <f>NPV($D$6,J$11:J19)</f>
        <v>72690.239999999991</v>
      </c>
      <c r="K60" s="190">
        <f>NPV($D$6,K$11:K19)</f>
        <v>38851.68</v>
      </c>
      <c r="L60" s="150" t="str">
        <f t="shared" si="11"/>
        <v>Age 69</v>
      </c>
      <c r="M60" s="189"/>
      <c r="N60" s="195" t="str">
        <f t="shared" si="7"/>
        <v>Age 69</v>
      </c>
      <c r="O60" s="181">
        <f t="shared" si="8"/>
        <v>197391.59999999998</v>
      </c>
      <c r="P60" s="181">
        <f t="shared" si="9"/>
        <v>38851.68</v>
      </c>
      <c r="Q60" s="196" t="str">
        <f t="shared" si="12"/>
        <v/>
      </c>
      <c r="R60" s="150" t="str">
        <f t="shared" si="13"/>
        <v/>
      </c>
    </row>
    <row r="61" spans="1:18" x14ac:dyDescent="0.2">
      <c r="B61" s="150" t="str">
        <f t="shared" si="10"/>
        <v>Age 70</v>
      </c>
      <c r="C61" s="190">
        <f>NPV($D$6,C$11:C20)</f>
        <v>219323.99999999997</v>
      </c>
      <c r="D61" s="190">
        <f>NPV($D$6,D$11:D20)</f>
        <v>211491</v>
      </c>
      <c r="E61" s="190">
        <f>NPV($D$6,E$11:E20)</f>
        <v>200524.80000000002</v>
      </c>
      <c r="F61" s="190">
        <f>NPV($D$6,F$11:F20)</f>
        <v>190080.8</v>
      </c>
      <c r="G61" s="190">
        <f>NPV($D$6,G$11:G20)</f>
        <v>175459.20000000001</v>
      </c>
      <c r="H61" s="190">
        <f>NPV($D$6,H$11:H20)</f>
        <v>156660</v>
      </c>
      <c r="I61" s="190">
        <f>NPV($D$6,I$11:I20)</f>
        <v>135354.24000000002</v>
      </c>
      <c r="J61" s="190">
        <f>NPV($D$6,J$11:J20)</f>
        <v>109035.35999999999</v>
      </c>
      <c r="K61" s="190">
        <f>NPV($D$6,K$11:K20)</f>
        <v>77703.360000000001</v>
      </c>
      <c r="L61" s="150" t="str">
        <f t="shared" si="11"/>
        <v>Age 70</v>
      </c>
      <c r="M61" s="189"/>
      <c r="N61" s="195" t="str">
        <f t="shared" si="7"/>
        <v>Age 70</v>
      </c>
      <c r="O61" s="181">
        <f t="shared" si="8"/>
        <v>219323.99999999997</v>
      </c>
      <c r="P61" s="181">
        <f t="shared" si="9"/>
        <v>77703.360000000001</v>
      </c>
      <c r="Q61" s="196" t="str">
        <f t="shared" si="12"/>
        <v/>
      </c>
      <c r="R61" s="150" t="str">
        <f t="shared" si="13"/>
        <v/>
      </c>
    </row>
    <row r="62" spans="1:18" x14ac:dyDescent="0.2">
      <c r="B62" s="150" t="str">
        <f t="shared" si="10"/>
        <v>Age 71</v>
      </c>
      <c r="C62" s="190">
        <f>NPV($D$6,C$11:C21)</f>
        <v>241256.39999999997</v>
      </c>
      <c r="D62" s="190">
        <f>NPV($D$6,D$11:D21)</f>
        <v>234990</v>
      </c>
      <c r="E62" s="190">
        <f>NPV($D$6,E$11:E21)</f>
        <v>225590.40000000002</v>
      </c>
      <c r="F62" s="190">
        <f>NPV($D$6,F$11:F21)</f>
        <v>217235.19999999998</v>
      </c>
      <c r="G62" s="190">
        <f>NPV($D$6,G$11:G21)</f>
        <v>204702.40000000002</v>
      </c>
      <c r="H62" s="190">
        <f>NPV($D$6,H$11:H21)</f>
        <v>187992</v>
      </c>
      <c r="I62" s="190">
        <f>NPV($D$6,I$11:I21)</f>
        <v>169192.80000000002</v>
      </c>
      <c r="J62" s="190">
        <f>NPV($D$6,J$11:J21)</f>
        <v>145380.47999999998</v>
      </c>
      <c r="K62" s="190">
        <f>NPV($D$6,K$11:K21)</f>
        <v>116555.04000000001</v>
      </c>
      <c r="L62" s="150" t="str">
        <f t="shared" si="11"/>
        <v>Age 71</v>
      </c>
      <c r="M62" s="189"/>
      <c r="N62" s="195" t="str">
        <f t="shared" si="7"/>
        <v>Age 71</v>
      </c>
      <c r="O62" s="181">
        <f t="shared" si="8"/>
        <v>241256.39999999997</v>
      </c>
      <c r="P62" s="181">
        <f t="shared" si="9"/>
        <v>116555.04000000001</v>
      </c>
      <c r="Q62" s="196" t="str">
        <f t="shared" si="12"/>
        <v/>
      </c>
      <c r="R62" s="150" t="str">
        <f t="shared" si="13"/>
        <v/>
      </c>
    </row>
    <row r="63" spans="1:18" x14ac:dyDescent="0.2">
      <c r="B63" s="150" t="str">
        <f t="shared" si="10"/>
        <v>Age 72</v>
      </c>
      <c r="C63" s="190">
        <f>NPV($D$6,C$11:C22)</f>
        <v>263188.8</v>
      </c>
      <c r="D63" s="190">
        <f>NPV($D$6,D$11:D22)</f>
        <v>258489</v>
      </c>
      <c r="E63" s="190">
        <f>NPV($D$6,E$11:E22)</f>
        <v>250656.00000000003</v>
      </c>
      <c r="F63" s="190">
        <f>NPV($D$6,F$11:F22)</f>
        <v>244389.59999999998</v>
      </c>
      <c r="G63" s="190">
        <f>NPV($D$6,G$11:G22)</f>
        <v>233945.60000000003</v>
      </c>
      <c r="H63" s="190">
        <f>NPV($D$6,H$11:H22)</f>
        <v>219324</v>
      </c>
      <c r="I63" s="190">
        <f>NPV($D$6,I$11:I22)</f>
        <v>203031.36000000002</v>
      </c>
      <c r="J63" s="190">
        <f>NPV($D$6,J$11:J22)</f>
        <v>181725.59999999998</v>
      </c>
      <c r="K63" s="190">
        <f>NPV($D$6,K$11:K22)</f>
        <v>155406.72</v>
      </c>
      <c r="L63" s="150" t="str">
        <f t="shared" si="11"/>
        <v>Age 72</v>
      </c>
      <c r="M63" s="189"/>
      <c r="N63" s="195" t="str">
        <f t="shared" si="7"/>
        <v>Age 72</v>
      </c>
      <c r="O63" s="181">
        <f t="shared" si="8"/>
        <v>263188.8</v>
      </c>
      <c r="P63" s="181">
        <f t="shared" si="9"/>
        <v>155406.72</v>
      </c>
      <c r="Q63" s="196" t="str">
        <f t="shared" si="12"/>
        <v/>
      </c>
      <c r="R63" s="150" t="str">
        <f t="shared" si="13"/>
        <v/>
      </c>
    </row>
    <row r="64" spans="1:18" x14ac:dyDescent="0.2">
      <c r="B64" s="150" t="str">
        <f t="shared" si="10"/>
        <v>Age 73</v>
      </c>
      <c r="C64" s="190">
        <f>NPV($D$6,C$11:C23)</f>
        <v>285121.2</v>
      </c>
      <c r="D64" s="190">
        <f>NPV($D$6,D$11:D23)</f>
        <v>281988</v>
      </c>
      <c r="E64" s="190">
        <f>NPV($D$6,E$11:E23)</f>
        <v>275721.60000000003</v>
      </c>
      <c r="F64" s="190">
        <f>NPV($D$6,F$11:F23)</f>
        <v>271544</v>
      </c>
      <c r="G64" s="190">
        <f>NPV($D$6,G$11:G23)</f>
        <v>263188.80000000005</v>
      </c>
      <c r="H64" s="190">
        <f>NPV($D$6,H$11:H23)</f>
        <v>250656</v>
      </c>
      <c r="I64" s="190">
        <f>NPV($D$6,I$11:I23)</f>
        <v>236869.92</v>
      </c>
      <c r="J64" s="190">
        <f>NPV($D$6,J$11:J23)</f>
        <v>218070.71999999997</v>
      </c>
      <c r="K64" s="190">
        <f>NPV($D$6,K$11:K23)</f>
        <v>194258.4</v>
      </c>
      <c r="L64" s="150" t="str">
        <f t="shared" si="11"/>
        <v>Age 73</v>
      </c>
      <c r="M64" s="189"/>
      <c r="N64" s="195" t="str">
        <f t="shared" si="7"/>
        <v>Age 73</v>
      </c>
      <c r="O64" s="181">
        <f t="shared" si="8"/>
        <v>285121.2</v>
      </c>
      <c r="P64" s="181">
        <f t="shared" si="9"/>
        <v>194258.4</v>
      </c>
      <c r="Q64" s="196" t="str">
        <f t="shared" ref="Q64:Q82" si="14">IF(O64&gt;P64,"",VALUE(RIGHT(N64,2)))</f>
        <v/>
      </c>
      <c r="R64" s="150" t="str">
        <f t="shared" si="13"/>
        <v/>
      </c>
    </row>
    <row r="65" spans="2:18" x14ac:dyDescent="0.2">
      <c r="B65" s="150" t="str">
        <f t="shared" si="10"/>
        <v>Age 74</v>
      </c>
      <c r="C65" s="190">
        <f>NPV($D$6,C$11:C24)</f>
        <v>307053.60000000003</v>
      </c>
      <c r="D65" s="190">
        <f>NPV($D$6,D$11:D24)</f>
        <v>305487</v>
      </c>
      <c r="E65" s="190">
        <f>NPV($D$6,E$11:E24)</f>
        <v>300787.20000000001</v>
      </c>
      <c r="F65" s="190">
        <f>NPV($D$6,F$11:F24)</f>
        <v>298698.40000000002</v>
      </c>
      <c r="G65" s="190">
        <f>NPV($D$6,G$11:G24)</f>
        <v>292432.00000000006</v>
      </c>
      <c r="H65" s="190">
        <f>NPV($D$6,H$11:H24)</f>
        <v>281988</v>
      </c>
      <c r="I65" s="190">
        <f>NPV($D$6,I$11:I24)</f>
        <v>270708.48000000004</v>
      </c>
      <c r="J65" s="190">
        <f>NPV($D$6,J$11:J24)</f>
        <v>254415.83999999997</v>
      </c>
      <c r="K65" s="190">
        <f>NPV($D$6,K$11:K24)</f>
        <v>233110.08</v>
      </c>
      <c r="L65" s="150" t="str">
        <f t="shared" si="11"/>
        <v>Age 74</v>
      </c>
      <c r="M65" s="189"/>
      <c r="N65" s="195" t="str">
        <f t="shared" si="7"/>
        <v>Age 74</v>
      </c>
      <c r="O65" s="181">
        <f t="shared" si="8"/>
        <v>307053.60000000003</v>
      </c>
      <c r="P65" s="181">
        <f t="shared" si="9"/>
        <v>233110.08</v>
      </c>
      <c r="Q65" s="196" t="str">
        <f t="shared" si="14"/>
        <v/>
      </c>
      <c r="R65" s="150" t="str">
        <f t="shared" si="13"/>
        <v/>
      </c>
    </row>
    <row r="66" spans="2:18" x14ac:dyDescent="0.2">
      <c r="B66" s="150" t="str">
        <f t="shared" si="10"/>
        <v>Age 75</v>
      </c>
      <c r="C66" s="190">
        <f>NPV($D$6,C$11:C25)</f>
        <v>328986.00000000006</v>
      </c>
      <c r="D66" s="190">
        <f>NPV($D$6,D$11:D25)</f>
        <v>328986</v>
      </c>
      <c r="E66" s="190">
        <f>NPV($D$6,E$11:E25)</f>
        <v>325852.79999999999</v>
      </c>
      <c r="F66" s="190">
        <f>NPV($D$6,F$11:F25)</f>
        <v>325852.80000000005</v>
      </c>
      <c r="G66" s="190">
        <f>NPV($D$6,G$11:G25)</f>
        <v>321675.20000000007</v>
      </c>
      <c r="H66" s="190">
        <f>NPV($D$6,H$11:H25)</f>
        <v>313320</v>
      </c>
      <c r="I66" s="190">
        <f>NPV($D$6,I$11:I25)</f>
        <v>304547.04000000004</v>
      </c>
      <c r="J66" s="190">
        <f>NPV($D$6,J$11:J25)</f>
        <v>290760.95999999996</v>
      </c>
      <c r="K66" s="190">
        <f>NPV($D$6,K$11:K25)</f>
        <v>271961.76</v>
      </c>
      <c r="L66" s="150" t="str">
        <f t="shared" si="11"/>
        <v>Age 75</v>
      </c>
      <c r="M66" s="189"/>
      <c r="N66" s="195" t="str">
        <f t="shared" si="7"/>
        <v>Age 75</v>
      </c>
      <c r="O66" s="181">
        <f t="shared" si="8"/>
        <v>328986.00000000006</v>
      </c>
      <c r="P66" s="181">
        <f t="shared" si="9"/>
        <v>271961.76</v>
      </c>
      <c r="Q66" s="196" t="str">
        <f t="shared" si="14"/>
        <v/>
      </c>
      <c r="R66" s="150" t="str">
        <f t="shared" si="13"/>
        <v/>
      </c>
    </row>
    <row r="67" spans="2:18" x14ac:dyDescent="0.2">
      <c r="B67" s="150" t="str">
        <f t="shared" si="10"/>
        <v>Age 76</v>
      </c>
      <c r="C67" s="190">
        <f>NPV($D$6,C$11:C26)</f>
        <v>350918.40000000008</v>
      </c>
      <c r="D67" s="190">
        <f>NPV($D$6,D$11:D26)</f>
        <v>352485</v>
      </c>
      <c r="E67" s="190">
        <f>NPV($D$6,E$11:E26)</f>
        <v>350918.39999999997</v>
      </c>
      <c r="F67" s="190">
        <f>NPV($D$6,F$11:F26)</f>
        <v>353007.20000000007</v>
      </c>
      <c r="G67" s="190">
        <f>NPV($D$6,G$11:G26)</f>
        <v>350918.40000000008</v>
      </c>
      <c r="H67" s="190">
        <f>NPV($D$6,H$11:H26)</f>
        <v>344652</v>
      </c>
      <c r="I67" s="190">
        <f>NPV($D$6,I$11:I26)</f>
        <v>338385.60000000003</v>
      </c>
      <c r="J67" s="190">
        <f>NPV($D$6,J$11:J26)</f>
        <v>327106.07999999996</v>
      </c>
      <c r="K67" s="190">
        <f>NPV($D$6,K$11:K26)</f>
        <v>310813.44</v>
      </c>
      <c r="L67" s="150" t="str">
        <f t="shared" si="11"/>
        <v>Age 76</v>
      </c>
      <c r="M67" s="189"/>
      <c r="N67" s="195" t="str">
        <f t="shared" si="7"/>
        <v>Age 76</v>
      </c>
      <c r="O67" s="181">
        <f t="shared" si="8"/>
        <v>350918.40000000008</v>
      </c>
      <c r="P67" s="181">
        <f t="shared" si="9"/>
        <v>310813.44</v>
      </c>
      <c r="Q67" s="196" t="str">
        <f t="shared" si="14"/>
        <v/>
      </c>
      <c r="R67" s="150" t="str">
        <f t="shared" si="13"/>
        <v/>
      </c>
    </row>
    <row r="68" spans="2:18" x14ac:dyDescent="0.2">
      <c r="B68" s="150" t="str">
        <f t="shared" si="10"/>
        <v>Age 77</v>
      </c>
      <c r="C68" s="190">
        <f>NPV($D$6,C$11:C27)</f>
        <v>372850.8000000001</v>
      </c>
      <c r="D68" s="190">
        <f>NPV($D$6,D$11:D27)</f>
        <v>375984</v>
      </c>
      <c r="E68" s="190">
        <f>NPV($D$6,E$11:E27)</f>
        <v>375983.99999999994</v>
      </c>
      <c r="F68" s="190">
        <f>NPV($D$6,F$11:F27)</f>
        <v>380161.60000000009</v>
      </c>
      <c r="G68" s="190">
        <f>NPV($D$6,G$11:G27)</f>
        <v>380161.60000000009</v>
      </c>
      <c r="H68" s="190">
        <f>NPV($D$6,H$11:H27)</f>
        <v>375984</v>
      </c>
      <c r="I68" s="190">
        <f>NPV($D$6,I$11:I27)</f>
        <v>372224.16000000003</v>
      </c>
      <c r="J68" s="190">
        <f>NPV($D$6,J$11:J27)</f>
        <v>363451.19999999995</v>
      </c>
      <c r="K68" s="190">
        <f>NPV($D$6,K$11:K27)</f>
        <v>349665.12</v>
      </c>
      <c r="L68" s="150" t="str">
        <f t="shared" si="11"/>
        <v>Age 77</v>
      </c>
      <c r="M68" s="189"/>
      <c r="N68" s="195" t="str">
        <f t="shared" si="7"/>
        <v>Age 77</v>
      </c>
      <c r="O68" s="181">
        <f t="shared" si="8"/>
        <v>372850.8000000001</v>
      </c>
      <c r="P68" s="181">
        <f t="shared" si="9"/>
        <v>349665.12</v>
      </c>
      <c r="Q68" s="196" t="str">
        <f t="shared" si="14"/>
        <v/>
      </c>
      <c r="R68" s="150" t="str">
        <f t="shared" si="13"/>
        <v/>
      </c>
    </row>
    <row r="69" spans="2:18" x14ac:dyDescent="0.2">
      <c r="B69" s="150" t="str">
        <f t="shared" si="10"/>
        <v>Age 78</v>
      </c>
      <c r="C69" s="190">
        <f>NPV($D$6,C$11:C28)</f>
        <v>394783.20000000013</v>
      </c>
      <c r="D69" s="190">
        <f>NPV($D$6,D$11:D28)</f>
        <v>399483</v>
      </c>
      <c r="E69" s="190">
        <f>NPV($D$6,E$11:E28)</f>
        <v>401049.59999999992</v>
      </c>
      <c r="F69" s="190">
        <f>NPV($D$6,F$11:F28)</f>
        <v>407316.00000000012</v>
      </c>
      <c r="G69" s="190">
        <f>NPV($D$6,G$11:G28)</f>
        <v>409404.8000000001</v>
      </c>
      <c r="H69" s="190">
        <f>NPV($D$6,H$11:H28)</f>
        <v>407316</v>
      </c>
      <c r="I69" s="190">
        <f>NPV($D$6,I$11:I28)</f>
        <v>406062.72000000003</v>
      </c>
      <c r="J69" s="190">
        <f>NPV($D$6,J$11:J28)</f>
        <v>399796.31999999995</v>
      </c>
      <c r="K69" s="190">
        <f>NPV($D$6,K$11:K28)</f>
        <v>388516.8</v>
      </c>
      <c r="L69" s="150" t="str">
        <f t="shared" si="11"/>
        <v>Age 78</v>
      </c>
      <c r="M69" s="189"/>
      <c r="N69" s="195" t="str">
        <f t="shared" si="7"/>
        <v>Age 78</v>
      </c>
      <c r="O69" s="181">
        <f t="shared" si="8"/>
        <v>394783.20000000013</v>
      </c>
      <c r="P69" s="181">
        <f t="shared" si="9"/>
        <v>388516.8</v>
      </c>
      <c r="Q69" s="196" t="str">
        <f t="shared" si="14"/>
        <v/>
      </c>
      <c r="R69" s="150" t="str">
        <f t="shared" si="13"/>
        <v/>
      </c>
    </row>
    <row r="70" spans="2:18" x14ac:dyDescent="0.2">
      <c r="B70" s="150" t="str">
        <f t="shared" si="10"/>
        <v>Age 79</v>
      </c>
      <c r="C70" s="190">
        <f>NPV($D$6,C$11:C29)</f>
        <v>416715.60000000015</v>
      </c>
      <c r="D70" s="190">
        <f>NPV($D$6,D$11:D29)</f>
        <v>422982</v>
      </c>
      <c r="E70" s="190">
        <f>NPV($D$6,E$11:E29)</f>
        <v>426115.1999999999</v>
      </c>
      <c r="F70" s="190">
        <f>NPV($D$6,F$11:F29)</f>
        <v>434470.40000000014</v>
      </c>
      <c r="G70" s="190">
        <f>NPV($D$6,G$11:G29)</f>
        <v>438648.00000000012</v>
      </c>
      <c r="H70" s="190">
        <f>NPV($D$6,H$11:H29)</f>
        <v>438648</v>
      </c>
      <c r="I70" s="190">
        <f>NPV($D$6,I$11:I29)</f>
        <v>439901.28</v>
      </c>
      <c r="J70" s="190">
        <f>NPV($D$6,J$11:J29)</f>
        <v>436141.43999999994</v>
      </c>
      <c r="K70" s="190">
        <f>NPV($D$6,K$11:K29)</f>
        <v>427368.48</v>
      </c>
      <c r="L70" s="150" t="str">
        <f t="shared" si="11"/>
        <v>Age 79</v>
      </c>
      <c r="M70" s="189"/>
      <c r="N70" s="195" t="str">
        <f t="shared" si="7"/>
        <v>Age 79</v>
      </c>
      <c r="O70" s="181">
        <f t="shared" si="8"/>
        <v>416715.60000000015</v>
      </c>
      <c r="P70" s="181">
        <f t="shared" si="9"/>
        <v>427368.48</v>
      </c>
      <c r="Q70" s="196">
        <f t="shared" si="14"/>
        <v>79</v>
      </c>
      <c r="R70" s="150">
        <f t="shared" si="13"/>
        <v>79</v>
      </c>
    </row>
    <row r="71" spans="2:18" x14ac:dyDescent="0.2">
      <c r="B71" s="150" t="str">
        <f t="shared" si="10"/>
        <v>Age 80</v>
      </c>
      <c r="C71" s="190">
        <f>NPV($D$6,C$11:C30)</f>
        <v>438648.00000000017</v>
      </c>
      <c r="D71" s="190">
        <f>NPV($D$6,D$11:D30)</f>
        <v>446481</v>
      </c>
      <c r="E71" s="190">
        <f>NPV($D$6,E$11:E30)</f>
        <v>451180.79999999987</v>
      </c>
      <c r="F71" s="190">
        <f>NPV($D$6,F$11:F30)</f>
        <v>461624.80000000016</v>
      </c>
      <c r="G71" s="190">
        <f>NPV($D$6,G$11:G30)</f>
        <v>467891.20000000013</v>
      </c>
      <c r="H71" s="190">
        <f>NPV($D$6,H$11:H30)</f>
        <v>469980</v>
      </c>
      <c r="I71" s="190">
        <f>NPV($D$6,I$11:I30)</f>
        <v>473739.84</v>
      </c>
      <c r="J71" s="190">
        <f>NPV($D$6,J$11:J30)</f>
        <v>472486.55999999994</v>
      </c>
      <c r="K71" s="190">
        <f>NPV($D$6,K$11:K30)</f>
        <v>466220.16</v>
      </c>
      <c r="L71" s="150" t="str">
        <f t="shared" si="11"/>
        <v>Age 80</v>
      </c>
      <c r="M71" s="189"/>
      <c r="N71" s="195" t="str">
        <f t="shared" si="7"/>
        <v>Age 80</v>
      </c>
      <c r="O71" s="181">
        <f t="shared" si="8"/>
        <v>438648.00000000017</v>
      </c>
      <c r="P71" s="181">
        <f t="shared" si="9"/>
        <v>466220.16</v>
      </c>
      <c r="Q71" s="196">
        <f t="shared" si="14"/>
        <v>80</v>
      </c>
      <c r="R71" s="150" t="str">
        <f t="shared" si="13"/>
        <v/>
      </c>
    </row>
    <row r="72" spans="2:18" x14ac:dyDescent="0.2">
      <c r="B72" s="150" t="str">
        <f t="shared" si="10"/>
        <v>Age 81</v>
      </c>
      <c r="C72" s="190">
        <f>NPV($D$6,C$11:C31)</f>
        <v>460580.4000000002</v>
      </c>
      <c r="D72" s="190">
        <f>NPV($D$6,D$11:D31)</f>
        <v>469980</v>
      </c>
      <c r="E72" s="190">
        <f>NPV($D$6,E$11:E31)</f>
        <v>476246.39999999985</v>
      </c>
      <c r="F72" s="190">
        <f>NPV($D$6,F$11:F31)</f>
        <v>488779.20000000019</v>
      </c>
      <c r="G72" s="190">
        <f>NPV($D$6,G$11:G31)</f>
        <v>497134.40000000014</v>
      </c>
      <c r="H72" s="190">
        <f>NPV($D$6,H$11:H31)</f>
        <v>501312</v>
      </c>
      <c r="I72" s="190">
        <f>NPV($D$6,I$11:I31)</f>
        <v>507578.4</v>
      </c>
      <c r="J72" s="190">
        <f>NPV($D$6,J$11:J31)</f>
        <v>508831.67999999993</v>
      </c>
      <c r="K72" s="190">
        <f>NPV($D$6,K$11:K31)</f>
        <v>505071.83999999997</v>
      </c>
      <c r="L72" s="150" t="str">
        <f t="shared" si="11"/>
        <v>Age 81</v>
      </c>
      <c r="M72" s="189"/>
      <c r="N72" s="195" t="str">
        <f t="shared" si="7"/>
        <v>Age 81</v>
      </c>
      <c r="O72" s="181">
        <f t="shared" si="8"/>
        <v>460580.4000000002</v>
      </c>
      <c r="P72" s="181">
        <f t="shared" si="9"/>
        <v>505071.83999999997</v>
      </c>
      <c r="Q72" s="196">
        <f t="shared" si="14"/>
        <v>81</v>
      </c>
      <c r="R72" s="150" t="str">
        <f t="shared" si="13"/>
        <v/>
      </c>
    </row>
    <row r="73" spans="2:18" x14ac:dyDescent="0.2">
      <c r="B73" s="150" t="str">
        <f t="shared" si="10"/>
        <v>Age 82</v>
      </c>
      <c r="C73" s="190">
        <f>NPV($D$6,C$11:C32)</f>
        <v>482512.80000000022</v>
      </c>
      <c r="D73" s="190">
        <f>NPV($D$6,D$11:D32)</f>
        <v>493479</v>
      </c>
      <c r="E73" s="190">
        <f>NPV($D$6,E$11:E32)</f>
        <v>501311.99999999983</v>
      </c>
      <c r="F73" s="190">
        <f>NPV($D$6,F$11:F32)</f>
        <v>515933.60000000021</v>
      </c>
      <c r="G73" s="190">
        <f>NPV($D$6,G$11:G32)</f>
        <v>526377.60000000009</v>
      </c>
      <c r="H73" s="190">
        <f>NPV($D$6,H$11:H32)</f>
        <v>532644</v>
      </c>
      <c r="I73" s="190">
        <f>NPV($D$6,I$11:I32)</f>
        <v>541416.96000000008</v>
      </c>
      <c r="J73" s="190">
        <f>NPV($D$6,J$11:J32)</f>
        <v>545176.79999999993</v>
      </c>
      <c r="K73" s="190">
        <f>NPV($D$6,K$11:K32)</f>
        <v>543923.52</v>
      </c>
      <c r="L73" s="150" t="str">
        <f t="shared" si="11"/>
        <v>Age 82</v>
      </c>
      <c r="M73" s="189"/>
      <c r="N73" s="195" t="str">
        <f t="shared" si="7"/>
        <v>Age 82</v>
      </c>
      <c r="O73" s="181">
        <f t="shared" si="8"/>
        <v>482512.80000000022</v>
      </c>
      <c r="P73" s="181">
        <f t="shared" si="9"/>
        <v>543923.52</v>
      </c>
      <c r="Q73" s="196">
        <f t="shared" si="14"/>
        <v>82</v>
      </c>
      <c r="R73" s="150" t="str">
        <f t="shared" si="13"/>
        <v/>
      </c>
    </row>
    <row r="74" spans="2:18" x14ac:dyDescent="0.2">
      <c r="B74" s="150" t="str">
        <f t="shared" si="10"/>
        <v>Age 83</v>
      </c>
      <c r="C74" s="190">
        <f>NPV($D$6,C$11:C33)</f>
        <v>504445.20000000024</v>
      </c>
      <c r="D74" s="190">
        <f>NPV($D$6,D$11:D33)</f>
        <v>516978</v>
      </c>
      <c r="E74" s="190">
        <f>NPV($D$6,E$11:E33)</f>
        <v>526377.59999999986</v>
      </c>
      <c r="F74" s="190">
        <f>NPV($D$6,F$11:F33)</f>
        <v>543088.00000000023</v>
      </c>
      <c r="G74" s="190">
        <f>NPV($D$6,G$11:G33)</f>
        <v>555620.80000000005</v>
      </c>
      <c r="H74" s="190">
        <f>NPV($D$6,H$11:H33)</f>
        <v>563976</v>
      </c>
      <c r="I74" s="190">
        <f>NPV($D$6,I$11:I33)</f>
        <v>575255.52000000014</v>
      </c>
      <c r="J74" s="190">
        <f>NPV($D$6,J$11:J33)</f>
        <v>581521.91999999993</v>
      </c>
      <c r="K74" s="190">
        <f>NPV($D$6,K$11:K33)</f>
        <v>582775.20000000007</v>
      </c>
      <c r="L74" s="150" t="str">
        <f t="shared" si="11"/>
        <v>Age 83</v>
      </c>
      <c r="M74" s="189"/>
      <c r="N74" s="195" t="str">
        <f t="shared" si="7"/>
        <v>Age 83</v>
      </c>
      <c r="O74" s="181">
        <f t="shared" si="8"/>
        <v>504445.20000000024</v>
      </c>
      <c r="P74" s="181">
        <f t="shared" si="9"/>
        <v>582775.20000000007</v>
      </c>
      <c r="Q74" s="196">
        <f t="shared" si="14"/>
        <v>83</v>
      </c>
      <c r="R74" s="150" t="str">
        <f t="shared" si="13"/>
        <v/>
      </c>
    </row>
    <row r="75" spans="2:18" x14ac:dyDescent="0.2">
      <c r="B75" s="150" t="str">
        <f t="shared" si="10"/>
        <v>Age 84</v>
      </c>
      <c r="C75" s="190">
        <f>NPV($D$6,C$11:C34)</f>
        <v>526377.60000000021</v>
      </c>
      <c r="D75" s="190">
        <f>NPV($D$6,D$11:D34)</f>
        <v>540477</v>
      </c>
      <c r="E75" s="190">
        <f>NPV($D$6,E$11:E34)</f>
        <v>551443.19999999984</v>
      </c>
      <c r="F75" s="190">
        <f>NPV($D$6,F$11:F34)</f>
        <v>570242.40000000026</v>
      </c>
      <c r="G75" s="190">
        <f>NPV($D$6,G$11:G34)</f>
        <v>584864</v>
      </c>
      <c r="H75" s="190">
        <f>NPV($D$6,H$11:H34)</f>
        <v>595308</v>
      </c>
      <c r="I75" s="190">
        <f>NPV($D$6,I$11:I34)</f>
        <v>609094.08000000019</v>
      </c>
      <c r="J75" s="190">
        <f>NPV($D$6,J$11:J34)</f>
        <v>617867.03999999992</v>
      </c>
      <c r="K75" s="190">
        <f>NPV($D$6,K$11:K34)</f>
        <v>621626.88000000012</v>
      </c>
      <c r="L75" s="150" t="str">
        <f t="shared" si="11"/>
        <v>Age 84</v>
      </c>
      <c r="M75" s="189"/>
      <c r="N75" s="195" t="str">
        <f t="shared" si="7"/>
        <v>Age 84</v>
      </c>
      <c r="O75" s="181">
        <f t="shared" si="8"/>
        <v>526377.60000000021</v>
      </c>
      <c r="P75" s="181">
        <f t="shared" si="9"/>
        <v>621626.88000000012</v>
      </c>
      <c r="Q75" s="196">
        <f t="shared" si="14"/>
        <v>84</v>
      </c>
      <c r="R75" s="150" t="str">
        <f t="shared" si="13"/>
        <v/>
      </c>
    </row>
    <row r="76" spans="2:18" x14ac:dyDescent="0.2">
      <c r="B76" s="150" t="str">
        <f t="shared" si="10"/>
        <v>Age 85</v>
      </c>
      <c r="C76" s="190">
        <f>NPV($D$6,C$11:C35)</f>
        <v>548310.00000000023</v>
      </c>
      <c r="D76" s="190">
        <f>NPV($D$6,D$11:D35)</f>
        <v>563976</v>
      </c>
      <c r="E76" s="190">
        <f>NPV($D$6,E$11:E35)</f>
        <v>576508.79999999981</v>
      </c>
      <c r="F76" s="190">
        <f>NPV($D$6,F$11:F35)</f>
        <v>597396.80000000028</v>
      </c>
      <c r="G76" s="190">
        <f>NPV($D$6,G$11:G35)</f>
        <v>614107.19999999995</v>
      </c>
      <c r="H76" s="190">
        <f>NPV($D$6,H$11:H35)</f>
        <v>626640</v>
      </c>
      <c r="I76" s="190">
        <f>NPV($D$6,I$11:I35)</f>
        <v>642932.64000000025</v>
      </c>
      <c r="J76" s="190">
        <f>NPV($D$6,J$11:J35)</f>
        <v>654212.15999999992</v>
      </c>
      <c r="K76" s="190">
        <f>NPV($D$6,K$11:K35)</f>
        <v>660478.56000000017</v>
      </c>
      <c r="L76" s="150" t="str">
        <f t="shared" si="11"/>
        <v>Age 85</v>
      </c>
      <c r="M76" s="189"/>
      <c r="N76" s="195" t="str">
        <f t="shared" si="7"/>
        <v>Age 85</v>
      </c>
      <c r="O76" s="181">
        <f t="shared" si="8"/>
        <v>548310.00000000023</v>
      </c>
      <c r="P76" s="181">
        <f t="shared" si="9"/>
        <v>660478.56000000017</v>
      </c>
      <c r="Q76" s="196">
        <f t="shared" si="14"/>
        <v>85</v>
      </c>
      <c r="R76" s="150" t="str">
        <f t="shared" si="13"/>
        <v/>
      </c>
    </row>
    <row r="77" spans="2:18" x14ac:dyDescent="0.2">
      <c r="B77" s="150" t="str">
        <f t="shared" si="10"/>
        <v>Age 86</v>
      </c>
      <c r="C77" s="190">
        <f>NPV($D$6,C$11:C36)</f>
        <v>570242.40000000026</v>
      </c>
      <c r="D77" s="190">
        <f>NPV($D$6,D$11:D36)</f>
        <v>587475</v>
      </c>
      <c r="E77" s="190">
        <f>NPV($D$6,E$11:E36)</f>
        <v>601574.39999999979</v>
      </c>
      <c r="F77" s="190">
        <f>NPV($D$6,F$11:F36)</f>
        <v>624551.2000000003</v>
      </c>
      <c r="G77" s="190">
        <f>NPV($D$6,G$11:G36)</f>
        <v>643350.39999999991</v>
      </c>
      <c r="H77" s="190">
        <f>NPV($D$6,H$11:H36)</f>
        <v>657972</v>
      </c>
      <c r="I77" s="190">
        <f>NPV($D$6,I$11:I36)</f>
        <v>676771.2000000003</v>
      </c>
      <c r="J77" s="190">
        <f>NPV($D$6,J$11:J36)</f>
        <v>690557.27999999991</v>
      </c>
      <c r="K77" s="190">
        <f>NPV($D$6,K$11:K36)</f>
        <v>699330.24000000022</v>
      </c>
      <c r="L77" s="150" t="str">
        <f t="shared" si="11"/>
        <v>Age 86</v>
      </c>
      <c r="M77" s="189"/>
      <c r="N77" s="195" t="str">
        <f t="shared" si="7"/>
        <v>Age 86</v>
      </c>
      <c r="O77" s="181">
        <f t="shared" si="8"/>
        <v>570242.40000000026</v>
      </c>
      <c r="P77" s="181">
        <f t="shared" si="9"/>
        <v>699330.24000000022</v>
      </c>
      <c r="Q77" s="196">
        <f t="shared" si="14"/>
        <v>86</v>
      </c>
      <c r="R77" s="150" t="str">
        <f t="shared" si="13"/>
        <v/>
      </c>
    </row>
    <row r="78" spans="2:18" x14ac:dyDescent="0.2">
      <c r="B78" s="150" t="str">
        <f t="shared" si="10"/>
        <v>Age 87</v>
      </c>
      <c r="C78" s="190">
        <f>NPV($D$6,C$11:C37)</f>
        <v>592174.80000000028</v>
      </c>
      <c r="D78" s="190">
        <f>NPV($D$6,D$11:D37)</f>
        <v>610974</v>
      </c>
      <c r="E78" s="190">
        <f>NPV($D$6,E$11:E37)</f>
        <v>626639.99999999977</v>
      </c>
      <c r="F78" s="190">
        <f>NPV($D$6,F$11:F37)</f>
        <v>651705.60000000033</v>
      </c>
      <c r="G78" s="190">
        <f>NPV($D$6,G$11:G37)</f>
        <v>672593.59999999986</v>
      </c>
      <c r="H78" s="190">
        <f>NPV($D$6,H$11:H37)</f>
        <v>689304</v>
      </c>
      <c r="I78" s="190">
        <f>NPV($D$6,I$11:I37)</f>
        <v>710609.76000000036</v>
      </c>
      <c r="J78" s="190">
        <f>NPV($D$6,J$11:J37)</f>
        <v>726902.39999999991</v>
      </c>
      <c r="K78" s="190">
        <f>NPV($D$6,K$11:K37)</f>
        <v>738181.92000000027</v>
      </c>
      <c r="L78" s="150" t="str">
        <f t="shared" si="11"/>
        <v>Age 87</v>
      </c>
      <c r="M78" s="189"/>
      <c r="N78" s="195" t="str">
        <f t="shared" si="7"/>
        <v>Age 87</v>
      </c>
      <c r="O78" s="181">
        <f t="shared" si="8"/>
        <v>592174.80000000028</v>
      </c>
      <c r="P78" s="181">
        <f t="shared" si="9"/>
        <v>738181.92000000027</v>
      </c>
      <c r="Q78" s="196">
        <f t="shared" si="14"/>
        <v>87</v>
      </c>
      <c r="R78" s="150" t="str">
        <f t="shared" si="13"/>
        <v/>
      </c>
    </row>
    <row r="79" spans="2:18" x14ac:dyDescent="0.2">
      <c r="B79" s="150" t="str">
        <f t="shared" si="10"/>
        <v>Age 88</v>
      </c>
      <c r="C79" s="190">
        <f>NPV($D$6,C$11:C38)</f>
        <v>614107.2000000003</v>
      </c>
      <c r="D79" s="190">
        <f>NPV($D$6,D$11:D38)</f>
        <v>634473</v>
      </c>
      <c r="E79" s="190">
        <f>NPV($D$6,E$11:E38)</f>
        <v>651705.59999999974</v>
      </c>
      <c r="F79" s="190">
        <f>NPV($D$6,F$11:F38)</f>
        <v>678860.00000000035</v>
      </c>
      <c r="G79" s="190">
        <f>NPV($D$6,G$11:G38)</f>
        <v>701836.79999999981</v>
      </c>
      <c r="H79" s="190">
        <f>NPV($D$6,H$11:H38)</f>
        <v>720636</v>
      </c>
      <c r="I79" s="190">
        <f>NPV($D$6,I$11:I38)</f>
        <v>744448.32000000041</v>
      </c>
      <c r="J79" s="190">
        <f>NPV($D$6,J$11:J38)</f>
        <v>763247.5199999999</v>
      </c>
      <c r="K79" s="190">
        <f>NPV($D$6,K$11:K38)</f>
        <v>777033.60000000033</v>
      </c>
      <c r="L79" s="150" t="str">
        <f t="shared" si="11"/>
        <v>Age 88</v>
      </c>
      <c r="M79" s="189"/>
      <c r="N79" s="195" t="str">
        <f t="shared" si="7"/>
        <v>Age 88</v>
      </c>
      <c r="O79" s="181">
        <f t="shared" si="8"/>
        <v>614107.2000000003</v>
      </c>
      <c r="P79" s="181">
        <f t="shared" si="9"/>
        <v>777033.60000000033</v>
      </c>
      <c r="Q79" s="196">
        <f t="shared" si="14"/>
        <v>88</v>
      </c>
      <c r="R79" s="150" t="str">
        <f t="shared" si="13"/>
        <v/>
      </c>
    </row>
    <row r="80" spans="2:18" x14ac:dyDescent="0.2">
      <c r="B80" s="150" t="str">
        <f t="shared" si="10"/>
        <v>Age 89</v>
      </c>
      <c r="C80" s="190">
        <f>NPV($D$6,C$11:C39)</f>
        <v>636039.60000000033</v>
      </c>
      <c r="D80" s="190">
        <f>NPV($D$6,D$11:D39)</f>
        <v>657972</v>
      </c>
      <c r="E80" s="190">
        <f>NPV($D$6,E$11:E39)</f>
        <v>676771.19999999972</v>
      </c>
      <c r="F80" s="190">
        <f>NPV($D$6,F$11:F39)</f>
        <v>706014.40000000037</v>
      </c>
      <c r="G80" s="190">
        <f>NPV($D$6,G$11:G39)</f>
        <v>731079.99999999977</v>
      </c>
      <c r="H80" s="190">
        <f>NPV($D$6,H$11:H39)</f>
        <v>751968</v>
      </c>
      <c r="I80" s="190">
        <f>NPV($D$6,I$11:I39)</f>
        <v>778286.88000000047</v>
      </c>
      <c r="J80" s="190">
        <f>NPV($D$6,J$11:J39)</f>
        <v>799592.6399999999</v>
      </c>
      <c r="K80" s="190">
        <f>NPV($D$6,K$11:K39)</f>
        <v>815885.28000000038</v>
      </c>
      <c r="L80" s="150" t="str">
        <f t="shared" si="11"/>
        <v>Age 89</v>
      </c>
      <c r="M80" s="189"/>
      <c r="N80" s="195" t="str">
        <f t="shared" si="7"/>
        <v>Age 89</v>
      </c>
      <c r="O80" s="181">
        <f t="shared" si="8"/>
        <v>636039.60000000033</v>
      </c>
      <c r="P80" s="181">
        <f t="shared" si="9"/>
        <v>815885.28000000038</v>
      </c>
      <c r="Q80" s="196">
        <f t="shared" si="14"/>
        <v>89</v>
      </c>
      <c r="R80" s="150" t="str">
        <f t="shared" si="13"/>
        <v/>
      </c>
    </row>
    <row r="81" spans="2:18" x14ac:dyDescent="0.2">
      <c r="B81" s="150" t="str">
        <f t="shared" si="10"/>
        <v>Age 90</v>
      </c>
      <c r="C81" s="190">
        <f>NPV($D$6,C$11:C40)</f>
        <v>657972.00000000035</v>
      </c>
      <c r="D81" s="190">
        <f>NPV($D$6,D$11:D40)</f>
        <v>681471</v>
      </c>
      <c r="E81" s="190">
        <f>NPV($D$6,E$11:E40)</f>
        <v>701836.7999999997</v>
      </c>
      <c r="F81" s="190">
        <f>NPV($D$6,F$11:F40)</f>
        <v>733168.8000000004</v>
      </c>
      <c r="G81" s="190">
        <f>NPV($D$6,G$11:G40)</f>
        <v>760323.19999999972</v>
      </c>
      <c r="H81" s="190">
        <f>NPV($D$6,H$11:H40)</f>
        <v>783300</v>
      </c>
      <c r="I81" s="190">
        <f>NPV($D$6,I$11:I40)</f>
        <v>812125.44000000053</v>
      </c>
      <c r="J81" s="190">
        <f>NPV($D$6,J$11:J40)</f>
        <v>835937.75999999989</v>
      </c>
      <c r="K81" s="190">
        <f>NPV($D$6,K$11:K40)</f>
        <v>854736.96000000043</v>
      </c>
      <c r="L81" s="150" t="str">
        <f t="shared" si="11"/>
        <v>Age 90</v>
      </c>
      <c r="M81" s="189"/>
      <c r="N81" s="195" t="str">
        <f t="shared" si="7"/>
        <v>Age 90</v>
      </c>
      <c r="O81" s="181">
        <f t="shared" si="8"/>
        <v>657972.00000000035</v>
      </c>
      <c r="P81" s="181">
        <f t="shared" si="9"/>
        <v>854736.96000000043</v>
      </c>
      <c r="Q81" s="196">
        <f t="shared" si="14"/>
        <v>90</v>
      </c>
      <c r="R81" s="150" t="str">
        <f t="shared" si="13"/>
        <v/>
      </c>
    </row>
    <row r="82" spans="2:18" x14ac:dyDescent="0.2">
      <c r="B82" s="150" t="str">
        <f t="shared" si="10"/>
        <v>Age 91</v>
      </c>
      <c r="C82" s="190">
        <f>NPV($D$6,C$11:C41)</f>
        <v>679904.40000000037</v>
      </c>
      <c r="D82" s="190">
        <f>NPV($D$6,D$11:D41)</f>
        <v>704970</v>
      </c>
      <c r="E82" s="190">
        <f>NPV($D$6,E$11:E41)</f>
        <v>726902.39999999967</v>
      </c>
      <c r="F82" s="190">
        <f>NPV($D$6,F$11:F41)</f>
        <v>760323.20000000042</v>
      </c>
      <c r="G82" s="190">
        <f>NPV($D$6,G$11:G41)</f>
        <v>789566.39999999967</v>
      </c>
      <c r="H82" s="190">
        <f>NPV($D$6,H$11:H41)</f>
        <v>814632</v>
      </c>
      <c r="I82" s="190">
        <f>NPV($D$6,I$11:I41)</f>
        <v>845964.00000000058</v>
      </c>
      <c r="J82" s="190">
        <f>NPV($D$6,J$11:J41)</f>
        <v>872282.87999999989</v>
      </c>
      <c r="K82" s="190">
        <f>NPV($D$6,K$11:K41)</f>
        <v>893588.64000000048</v>
      </c>
      <c r="L82" s="150" t="str">
        <f t="shared" si="11"/>
        <v>Age 91</v>
      </c>
      <c r="M82" s="189"/>
      <c r="N82" s="195" t="str">
        <f t="shared" si="7"/>
        <v>Age 91</v>
      </c>
      <c r="O82" s="181">
        <f t="shared" si="8"/>
        <v>679904.40000000037</v>
      </c>
      <c r="P82" s="181">
        <f t="shared" si="9"/>
        <v>893588.64000000048</v>
      </c>
      <c r="Q82" s="196">
        <f t="shared" si="14"/>
        <v>91</v>
      </c>
      <c r="R82" s="150" t="str">
        <f t="shared" si="13"/>
        <v/>
      </c>
    </row>
    <row r="83" spans="2:18" x14ac:dyDescent="0.2">
      <c r="B83" s="150" t="str">
        <f t="shared" si="10"/>
        <v>Age 92</v>
      </c>
      <c r="C83" s="190">
        <f>NPV($D$6,C$11:C42)</f>
        <v>701836.8000000004</v>
      </c>
      <c r="D83" s="190">
        <f>NPV($D$6,D$11:D42)</f>
        <v>728469</v>
      </c>
      <c r="E83" s="190">
        <f>NPV($D$6,E$11:E42)</f>
        <v>751967.99999999965</v>
      </c>
      <c r="F83" s="190">
        <f>NPV($D$6,F$11:F42)</f>
        <v>787477.60000000044</v>
      </c>
      <c r="G83" s="190">
        <f>NPV($D$6,G$11:G42)</f>
        <v>818809.59999999963</v>
      </c>
      <c r="H83" s="190">
        <f>NPV($D$6,H$11:H42)</f>
        <v>845964</v>
      </c>
      <c r="I83" s="190">
        <f>NPV($D$6,I$11:I42)</f>
        <v>879802.56000000064</v>
      </c>
      <c r="J83" s="190">
        <f>NPV($D$6,J$11:J42)</f>
        <v>908627.99999999988</v>
      </c>
      <c r="K83" s="190">
        <f>NPV($D$6,K$11:K42)</f>
        <v>932440.32000000053</v>
      </c>
      <c r="L83" s="150" t="str">
        <f t="shared" si="11"/>
        <v>Age 92</v>
      </c>
      <c r="M83" s="189"/>
      <c r="N83" s="195" t="str">
        <f t="shared" si="7"/>
        <v>Age 92</v>
      </c>
      <c r="O83" s="181">
        <f t="shared" si="8"/>
        <v>701836.8000000004</v>
      </c>
      <c r="P83" s="181">
        <f t="shared" si="9"/>
        <v>932440.32000000053</v>
      </c>
      <c r="Q83" s="196">
        <f>IF(O83&gt;P83,"",VALUE(RIGHT(N83,2)))</f>
        <v>92</v>
      </c>
      <c r="R83" s="150" t="str">
        <f t="shared" si="13"/>
        <v/>
      </c>
    </row>
    <row r="84" spans="2:18" x14ac:dyDescent="0.2">
      <c r="B84" s="150" t="str">
        <f t="shared" si="10"/>
        <v>Age 93</v>
      </c>
      <c r="C84" s="190">
        <f>NPV($D$6,C$11:C43)</f>
        <v>723769.20000000042</v>
      </c>
      <c r="D84" s="190">
        <f>NPV($D$6,D$11:D43)</f>
        <v>751968</v>
      </c>
      <c r="E84" s="190">
        <f>NPV($D$6,E$11:E43)</f>
        <v>777033.59999999963</v>
      </c>
      <c r="F84" s="190">
        <f>NPV($D$6,F$11:F43)</f>
        <v>814632.00000000047</v>
      </c>
      <c r="G84" s="190">
        <f>NPV($D$6,G$11:G43)</f>
        <v>848052.79999999958</v>
      </c>
      <c r="H84" s="190">
        <f>NPV($D$6,H$11:H43)</f>
        <v>877296</v>
      </c>
      <c r="I84" s="190">
        <f>NPV($D$6,I$11:I43)</f>
        <v>913641.12000000069</v>
      </c>
      <c r="J84" s="190">
        <f>NPV($D$6,J$11:J43)</f>
        <v>944973.11999999988</v>
      </c>
      <c r="K84" s="190">
        <f>NPV($D$6,K$11:K43)</f>
        <v>971292.00000000058</v>
      </c>
      <c r="L84" s="150" t="str">
        <f t="shared" si="11"/>
        <v>Age 93</v>
      </c>
      <c r="M84" s="189"/>
      <c r="N84" s="195" t="str">
        <f t="shared" si="7"/>
        <v>Age 93</v>
      </c>
      <c r="O84" s="181">
        <f t="shared" si="8"/>
        <v>723769.20000000042</v>
      </c>
      <c r="P84" s="181">
        <f t="shared" si="9"/>
        <v>971292.00000000058</v>
      </c>
      <c r="Q84" s="196">
        <f t="shared" ref="Q84:Q86" si="15">IF(O84&gt;P84,"",VALUE(RIGHT(N84,2)))</f>
        <v>93</v>
      </c>
      <c r="R84" s="150" t="str">
        <f t="shared" si="13"/>
        <v/>
      </c>
    </row>
    <row r="85" spans="2:18" x14ac:dyDescent="0.2">
      <c r="B85" s="150" t="str">
        <f t="shared" si="10"/>
        <v>Age 94</v>
      </c>
      <c r="C85" s="190">
        <f>NPV($D$6,C$11:C44)</f>
        <v>745701.60000000044</v>
      </c>
      <c r="D85" s="190">
        <f>NPV($D$6,D$11:D44)</f>
        <v>775467</v>
      </c>
      <c r="E85" s="190">
        <f>NPV($D$6,E$11:E44)</f>
        <v>802099.1999999996</v>
      </c>
      <c r="F85" s="190">
        <f>NPV($D$6,F$11:F44)</f>
        <v>841786.40000000049</v>
      </c>
      <c r="G85" s="190">
        <f>NPV($D$6,G$11:G44)</f>
        <v>877295.99999999953</v>
      </c>
      <c r="H85" s="190">
        <f>NPV($D$6,H$11:H44)</f>
        <v>908628</v>
      </c>
      <c r="I85" s="190">
        <f>NPV($D$6,I$11:I44)</f>
        <v>947479.68000000075</v>
      </c>
      <c r="J85" s="190">
        <f>NPV($D$6,J$11:J44)</f>
        <v>981318.23999999987</v>
      </c>
      <c r="K85" s="190">
        <f>NPV($D$6,K$11:K44)</f>
        <v>1010143.6800000006</v>
      </c>
      <c r="L85" s="150" t="str">
        <f t="shared" si="11"/>
        <v>Age 94</v>
      </c>
      <c r="M85" s="189"/>
      <c r="N85" s="195" t="str">
        <f t="shared" si="7"/>
        <v>Age 94</v>
      </c>
      <c r="O85" s="181">
        <f t="shared" si="8"/>
        <v>745701.60000000044</v>
      </c>
      <c r="P85" s="181">
        <f t="shared" si="9"/>
        <v>1010143.6800000006</v>
      </c>
      <c r="Q85" s="196">
        <f t="shared" si="15"/>
        <v>94</v>
      </c>
      <c r="R85" s="150" t="str">
        <f t="shared" si="13"/>
        <v/>
      </c>
    </row>
    <row r="86" spans="2:18" x14ac:dyDescent="0.2">
      <c r="B86" s="150" t="str">
        <f t="shared" si="10"/>
        <v>Age 95</v>
      </c>
      <c r="C86" s="190">
        <f>NPV($D$6,C$11:C45)</f>
        <v>767634.00000000047</v>
      </c>
      <c r="D86" s="190">
        <f>NPV($D$6,D$11:D45)</f>
        <v>798966</v>
      </c>
      <c r="E86" s="190">
        <f>NPV($D$6,E$11:E45)</f>
        <v>827164.79999999958</v>
      </c>
      <c r="F86" s="190">
        <f>NPV($D$6,F$11:F45)</f>
        <v>868940.80000000051</v>
      </c>
      <c r="G86" s="190">
        <f>NPV($D$6,G$11:G45)</f>
        <v>906539.19999999949</v>
      </c>
      <c r="H86" s="190">
        <f>NPV($D$6,H$11:H45)</f>
        <v>939960</v>
      </c>
      <c r="I86" s="190">
        <f>NPV($D$6,I$11:I45)</f>
        <v>981318.24000000081</v>
      </c>
      <c r="J86" s="190">
        <f>NPV($D$6,J$11:J45)</f>
        <v>1017663.3599999999</v>
      </c>
      <c r="K86" s="190">
        <f>NPV($D$6,K$11:K45)</f>
        <v>1048995.3600000006</v>
      </c>
      <c r="L86" s="150" t="str">
        <f t="shared" si="11"/>
        <v>Age 95</v>
      </c>
      <c r="M86" s="189"/>
      <c r="N86" s="195" t="str">
        <f t="shared" si="7"/>
        <v>Age 95</v>
      </c>
      <c r="O86" s="181">
        <f t="shared" si="8"/>
        <v>767634.00000000047</v>
      </c>
      <c r="P86" s="181">
        <f t="shared" si="9"/>
        <v>1048995.3600000006</v>
      </c>
      <c r="Q86" s="196">
        <f t="shared" si="15"/>
        <v>95</v>
      </c>
      <c r="R86" s="150" t="str">
        <f t="shared" si="13"/>
        <v/>
      </c>
    </row>
    <row r="87" spans="2:18" x14ac:dyDescent="0.2">
      <c r="B87" s="150" t="str">
        <f t="shared" si="10"/>
        <v>Age 96</v>
      </c>
      <c r="C87" s="190">
        <f>NPV($D$6,C$11:C46)</f>
        <v>789566.40000000049</v>
      </c>
      <c r="D87" s="190">
        <f>NPV($D$6,D$11:D46)</f>
        <v>822465</v>
      </c>
      <c r="E87" s="190">
        <f>NPV($D$6,E$11:E46)</f>
        <v>852230.39999999956</v>
      </c>
      <c r="F87" s="190">
        <f>NPV($D$6,F$11:F46)</f>
        <v>896095.20000000054</v>
      </c>
      <c r="G87" s="190">
        <f>NPV($D$6,G$11:G46)</f>
        <v>935782.39999999944</v>
      </c>
      <c r="H87" s="190">
        <f>NPV($D$6,H$11:H46)</f>
        <v>971292</v>
      </c>
      <c r="I87" s="190">
        <f>NPV($D$6,I$11:I46)</f>
        <v>1015156.8000000009</v>
      </c>
      <c r="J87" s="190">
        <f>NPV($D$6,J$11:J46)</f>
        <v>1054008.48</v>
      </c>
      <c r="K87" s="190">
        <f>NPV($D$6,K$11:K46)</f>
        <v>1087847.0400000005</v>
      </c>
      <c r="L87" s="150" t="str">
        <f t="shared" si="11"/>
        <v>Age 96</v>
      </c>
      <c r="M87" s="189"/>
      <c r="N87" s="195" t="str">
        <f t="shared" si="7"/>
        <v>Age 96</v>
      </c>
      <c r="O87" s="181">
        <f t="shared" si="8"/>
        <v>789566.40000000049</v>
      </c>
      <c r="P87" s="181">
        <f t="shared" si="9"/>
        <v>1087847.0400000005</v>
      </c>
      <c r="Q87" s="196">
        <f t="shared" ref="Q87:Q90" si="16">IF(O87&gt;P87,"",VALUE(RIGHT(N87,2)))</f>
        <v>96</v>
      </c>
      <c r="R87" s="150" t="str">
        <f t="shared" si="13"/>
        <v/>
      </c>
    </row>
    <row r="88" spans="2:18" x14ac:dyDescent="0.2">
      <c r="B88" s="150" t="str">
        <f t="shared" si="10"/>
        <v>Age 97</v>
      </c>
      <c r="C88" s="190">
        <f>NPV($D$6,C$11:C47)</f>
        <v>811498.80000000051</v>
      </c>
      <c r="D88" s="190">
        <f>NPV($D$6,D$11:D47)</f>
        <v>845964</v>
      </c>
      <c r="E88" s="190">
        <f>NPV($D$6,E$11:E47)</f>
        <v>877295.99999999953</v>
      </c>
      <c r="F88" s="190">
        <f>NPV($D$6,F$11:F47)</f>
        <v>923249.60000000056</v>
      </c>
      <c r="G88" s="190">
        <f>NPV($D$6,G$11:G47)</f>
        <v>965025.59999999939</v>
      </c>
      <c r="H88" s="190">
        <f>NPV($D$6,H$11:H47)</f>
        <v>1002624</v>
      </c>
      <c r="I88" s="190">
        <f>NPV($D$6,I$11:I47)</f>
        <v>1048995.3600000008</v>
      </c>
      <c r="J88" s="190">
        <f>NPV($D$6,J$11:J47)</f>
        <v>1090353.6000000001</v>
      </c>
      <c r="K88" s="190">
        <f>NPV($D$6,K$11:K47)</f>
        <v>1126698.7200000004</v>
      </c>
      <c r="L88" s="150" t="str">
        <f t="shared" si="11"/>
        <v>Age 97</v>
      </c>
      <c r="M88" s="189"/>
      <c r="N88" s="195" t="str">
        <f t="shared" si="7"/>
        <v>Age 97</v>
      </c>
      <c r="O88" s="181">
        <f t="shared" si="8"/>
        <v>811498.80000000051</v>
      </c>
      <c r="P88" s="181">
        <f t="shared" si="9"/>
        <v>1126698.7200000004</v>
      </c>
      <c r="Q88" s="196">
        <f t="shared" si="16"/>
        <v>97</v>
      </c>
      <c r="R88" s="150" t="str">
        <f t="shared" si="13"/>
        <v/>
      </c>
    </row>
    <row r="89" spans="2:18" x14ac:dyDescent="0.2">
      <c r="B89" s="150" t="str">
        <f t="shared" si="10"/>
        <v>Age 98</v>
      </c>
      <c r="C89" s="190">
        <f>NPV($D$6,C$11:C48)</f>
        <v>833431.20000000054</v>
      </c>
      <c r="D89" s="190">
        <f>NPV($D$6,D$11:D48)</f>
        <v>869463</v>
      </c>
      <c r="E89" s="190">
        <f>NPV($D$6,E$11:E48)</f>
        <v>902361.59999999951</v>
      </c>
      <c r="F89" s="190">
        <f>NPV($D$6,F$11:F48)</f>
        <v>950404.00000000058</v>
      </c>
      <c r="G89" s="190">
        <f>NPV($D$6,G$11:G48)</f>
        <v>994268.79999999935</v>
      </c>
      <c r="H89" s="190">
        <f>NPV($D$6,H$11:H48)</f>
        <v>1033956</v>
      </c>
      <c r="I89" s="190">
        <f>NPV($D$6,I$11:I48)</f>
        <v>1082833.9200000009</v>
      </c>
      <c r="J89" s="190">
        <f>NPV($D$6,J$11:J48)</f>
        <v>1126698.7200000002</v>
      </c>
      <c r="K89" s="190">
        <f>NPV($D$6,K$11:K48)</f>
        <v>1165550.4000000004</v>
      </c>
      <c r="L89" s="150" t="str">
        <f t="shared" si="11"/>
        <v>Age 98</v>
      </c>
      <c r="M89" s="189"/>
      <c r="N89" s="195" t="str">
        <f t="shared" si="7"/>
        <v>Age 98</v>
      </c>
      <c r="O89" s="181">
        <f t="shared" si="8"/>
        <v>833431.20000000054</v>
      </c>
      <c r="P89" s="181">
        <f t="shared" si="9"/>
        <v>1165550.4000000004</v>
      </c>
      <c r="Q89" s="196">
        <f t="shared" si="16"/>
        <v>98</v>
      </c>
      <c r="R89" s="150" t="str">
        <f t="shared" si="13"/>
        <v/>
      </c>
    </row>
    <row r="90" spans="2:18" ht="13.5" thickBot="1" x14ac:dyDescent="0.25">
      <c r="B90" s="150" t="str">
        <f t="shared" si="10"/>
        <v>Age 99</v>
      </c>
      <c r="C90" s="190">
        <f>NPV($D$6,C$11:C49)</f>
        <v>855363.60000000056</v>
      </c>
      <c r="D90" s="190">
        <f>NPV($D$6,D$11:D49)</f>
        <v>892962</v>
      </c>
      <c r="E90" s="190">
        <f>NPV($D$6,E$11:E49)</f>
        <v>927427.19999999949</v>
      </c>
      <c r="F90" s="190">
        <f>NPV($D$6,F$11:F49)</f>
        <v>977558.40000000061</v>
      </c>
      <c r="G90" s="190">
        <f>NPV($D$6,G$11:G49)</f>
        <v>1023511.9999999993</v>
      </c>
      <c r="H90" s="190">
        <f>NPV($D$6,H$11:H49)</f>
        <v>1065288</v>
      </c>
      <c r="I90" s="190">
        <f>NPV($D$6,I$11:I49)</f>
        <v>1116672.4800000009</v>
      </c>
      <c r="J90" s="190">
        <f>NPV($D$6,J$11:J49)</f>
        <v>1163043.8400000003</v>
      </c>
      <c r="K90" s="190">
        <f>NPV($D$6,K$11:K49)</f>
        <v>1204402.0800000003</v>
      </c>
      <c r="L90" s="150" t="str">
        <f t="shared" si="11"/>
        <v>Age 99</v>
      </c>
      <c r="M90" s="189"/>
      <c r="N90" s="197" t="str">
        <f t="shared" si="7"/>
        <v>Age 99</v>
      </c>
      <c r="O90" s="198">
        <f t="shared" si="8"/>
        <v>855363.60000000056</v>
      </c>
      <c r="P90" s="198">
        <f t="shared" si="9"/>
        <v>1204402.0800000003</v>
      </c>
      <c r="Q90" s="199">
        <f t="shared" si="16"/>
        <v>99</v>
      </c>
      <c r="R90" s="150" t="str">
        <f t="shared" si="13"/>
        <v/>
      </c>
    </row>
    <row r="91" spans="2:18" x14ac:dyDescent="0.2">
      <c r="C91" s="182"/>
      <c r="D91" s="182"/>
      <c r="E91" s="182"/>
      <c r="F91" s="182"/>
      <c r="G91" s="182"/>
      <c r="H91" s="182"/>
      <c r="K91" s="182"/>
    </row>
    <row r="92" spans="2:18" x14ac:dyDescent="0.2">
      <c r="C92" s="182"/>
      <c r="D92" s="182"/>
      <c r="E92" s="182"/>
      <c r="F92" s="182"/>
      <c r="G92" s="182"/>
      <c r="H92" s="182"/>
      <c r="K92" s="182"/>
    </row>
    <row r="93" spans="2:18" x14ac:dyDescent="0.2">
      <c r="C93" s="182"/>
      <c r="D93" s="182"/>
      <c r="E93" s="182"/>
      <c r="F93" s="182"/>
      <c r="G93" s="182"/>
      <c r="H93" s="182"/>
      <c r="K93" s="182"/>
    </row>
    <row r="94" spans="2:18" x14ac:dyDescent="0.2">
      <c r="C94" s="182"/>
      <c r="D94" s="182"/>
      <c r="E94" s="182"/>
      <c r="F94" s="182"/>
      <c r="G94" s="182"/>
      <c r="H94" s="182"/>
      <c r="K94" s="182"/>
    </row>
    <row r="95" spans="2:18" x14ac:dyDescent="0.2">
      <c r="C95" s="182"/>
      <c r="E95" s="182"/>
      <c r="F95" s="182"/>
      <c r="G95" s="182"/>
      <c r="H95" s="182"/>
      <c r="K95" s="182"/>
    </row>
    <row r="96" spans="2:18" x14ac:dyDescent="0.2">
      <c r="G96" s="182"/>
    </row>
  </sheetData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Introduction</vt:lpstr>
      <vt:lpstr>AIME PIA and Family Max</vt:lpstr>
      <vt:lpstr>Breakeven Years</vt:lpstr>
      <vt:lpstr>Data</vt:lpstr>
      <vt:lpstr>Ages</vt:lpstr>
      <vt:lpstr>BendPoints</vt:lpstr>
      <vt:lpstr>BirthYear</vt:lpstr>
      <vt:lpstr>Chart1</vt:lpstr>
      <vt:lpstr>Chart2</vt:lpstr>
      <vt:lpstr>ChartNum</vt:lpstr>
      <vt:lpstr>Data</vt:lpstr>
      <vt:lpstr>Diff</vt:lpstr>
      <vt:lpstr>FRAage</vt:lpstr>
      <vt:lpstr>MatchLoc</vt:lpstr>
      <vt:lpstr>'AIME PIA and Family Max'!Print_Area</vt:lpstr>
      <vt:lpstr>SSA</vt:lpstr>
      <vt:lpstr>Years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Bryan Sudweeks</cp:lastModifiedBy>
  <cp:lastPrinted>2018-04-04T23:55:31Z</cp:lastPrinted>
  <dcterms:created xsi:type="dcterms:W3CDTF">2015-11-12T21:09:32Z</dcterms:created>
  <dcterms:modified xsi:type="dcterms:W3CDTF">2019-04-08T20:00:16Z</dcterms:modified>
</cp:coreProperties>
</file>