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s76\Dropbox\PublicStuff\BM 418 Public\Learning Tools\"/>
    </mc:Choice>
  </mc:AlternateContent>
  <bookViews>
    <workbookView xWindow="0" yWindow="0" windowWidth="28800" windowHeight="11805" activeTab="1"/>
    <workbookView xWindow="0" yWindow="0" windowWidth="19200" windowHeight="11325" activeTab="1"/>
  </bookViews>
  <sheets>
    <sheet name="Introduction" sheetId="2" r:id="rId1"/>
    <sheet name="Needs - Before Tax (Fin200)" sheetId="3" r:id="rId2"/>
    <sheet name="Needs - After Tax (Fin418)" sheetId="1" r:id="rId3"/>
  </sheets>
  <definedNames>
    <definedName name="_xlnm.Print_Area" localSheetId="2">'Needs - After Tax (Fin418)'!$A$6:$K$85</definedName>
    <definedName name="_xlnm.Print_Area" localSheetId="1">'Needs - Before Tax (Fin200)'!$B$6:$L$55</definedName>
    <definedName name="_xlnm.Print_Titles" localSheetId="2">'Needs - After Tax (Fin418)'!$1:$5</definedName>
    <definedName name="_xlnm.Print_Titles" localSheetId="1">'Needs - Before Tax (Fin200)'!$1:$5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3" l="1"/>
  <c r="J36" i="3"/>
  <c r="J31" i="3"/>
  <c r="J47" i="3" l="1"/>
  <c r="Q8" i="3" l="1"/>
  <c r="J37" i="3" l="1"/>
  <c r="J25" i="3"/>
  <c r="I36" i="1" l="1"/>
  <c r="I76" i="1"/>
  <c r="I56" i="1"/>
  <c r="F41" i="3" l="1"/>
  <c r="J46" i="3"/>
  <c r="J30" i="3"/>
  <c r="J26" i="3"/>
  <c r="J27" i="3" l="1"/>
  <c r="F33" i="3" s="1"/>
  <c r="I54" i="1"/>
  <c r="I64" i="1"/>
  <c r="I65" i="1" s="1"/>
  <c r="I68" i="1" s="1"/>
  <c r="I73" i="1" s="1"/>
  <c r="I57" i="1"/>
  <c r="I55" i="1"/>
  <c r="I24" i="1"/>
  <c r="I26" i="1" s="1"/>
  <c r="I37" i="1"/>
  <c r="I35" i="1"/>
  <c r="I46" i="1"/>
  <c r="I44" i="1"/>
  <c r="I27" i="1"/>
  <c r="I75" i="1"/>
  <c r="I45" i="1"/>
  <c r="E47" i="1" l="1"/>
  <c r="I38" i="1"/>
  <c r="I42" i="1" s="1"/>
  <c r="J32" i="3"/>
  <c r="J39" i="3" s="1"/>
  <c r="I47" i="1"/>
  <c r="I28" i="1"/>
  <c r="E30" i="1" s="1"/>
  <c r="I58" i="1"/>
  <c r="I59" i="1" s="1"/>
  <c r="I72" i="1" s="1"/>
  <c r="J38" i="3"/>
  <c r="J41" i="3" l="1"/>
  <c r="J45" i="3" s="1"/>
  <c r="F42" i="3"/>
  <c r="I29" i="1"/>
  <c r="I41" i="1" s="1"/>
  <c r="J50" i="3" l="1"/>
  <c r="J48" i="3"/>
  <c r="F49" i="3"/>
  <c r="F51" i="3"/>
  <c r="I43" i="1"/>
  <c r="E49" i="1"/>
  <c r="I48" i="1" l="1"/>
  <c r="I71" i="1" s="1"/>
  <c r="I74" i="1" l="1"/>
  <c r="I79" i="1" s="1"/>
  <c r="I77" i="1"/>
  <c r="E78" i="1" l="1"/>
  <c r="E80" i="1"/>
</calcChain>
</file>

<file path=xl/sharedStrings.xml><?xml version="1.0" encoding="utf-8"?>
<sst xmlns="http://schemas.openxmlformats.org/spreadsheetml/2006/main" count="239" uniqueCount="176">
  <si>
    <t xml:space="preserve">                   Percentages must be converted to decimal form.</t>
  </si>
  <si>
    <t>Notes to the Spreadsheet</t>
  </si>
  <si>
    <t>Key Data:</t>
  </si>
  <si>
    <t>Number of Years Till Retirement</t>
  </si>
  <si>
    <t>If you find any mistakes, please contact Bryan Sudweeks at bryan_sudweeks@byu.edu.</t>
  </si>
  <si>
    <t>Estimated Average Growth Rate of Investments Until Retirement</t>
  </si>
  <si>
    <t>Estimated Average Annual Rate of Inflation Until Retirement</t>
  </si>
  <si>
    <t>Number of Years In Retirement</t>
  </si>
  <si>
    <t>Estimate Growth Rate of Investments During Retirement</t>
  </si>
  <si>
    <t>Estimated Annual Rate of Inflation During Retirement</t>
  </si>
  <si>
    <t>A.</t>
  </si>
  <si>
    <t>What you expect to be making the year you retire, after tax in today's dollars</t>
  </si>
  <si>
    <t>B.</t>
  </si>
  <si>
    <t>Percentage of income you want to replace (e.g., 80% in decimal form)</t>
  </si>
  <si>
    <t>C.</t>
  </si>
  <si>
    <t>D.</t>
  </si>
  <si>
    <t>These are any anticipated annual expenses each year, i.e. to visit the grandkids, go on a cruise, go on a mission, etc.</t>
  </si>
  <si>
    <t>E.</t>
  </si>
  <si>
    <t>F.</t>
  </si>
  <si>
    <t>G.</t>
  </si>
  <si>
    <t>Before-tax income necessary for retirement in today's dollars</t>
  </si>
  <si>
    <t>Before tax in today's dollars without inflation</t>
  </si>
  <si>
    <t>H.</t>
  </si>
  <si>
    <t>Before-tax income necessary at retirement in future dollars after inflation</t>
  </si>
  <si>
    <t>This is the FV of before-tax income at the rate of inflation</t>
  </si>
  <si>
    <t>Step 2: Estimate Income Annually from Social Security and Pensions at Retirement</t>
  </si>
  <si>
    <t>Projected annual Social Security benefits (in today's dollars)</t>
  </si>
  <si>
    <t>Projected annual defined-benefit pension (in today's dollars)</t>
  </si>
  <si>
    <t>Projected total pension benefits in today's dollars for all vehicles</t>
  </si>
  <si>
    <t xml:space="preserve">Estimated average growth factor in percent </t>
  </si>
  <si>
    <t>Estimated number of years until you retire (from above)</t>
  </si>
  <si>
    <t>Anticipated Social Security and Pension income in future dollars</t>
  </si>
  <si>
    <t>Step 3:  Estimate your total Retirement Needs After Inflation at Retirement</t>
  </si>
  <si>
    <t>Target Annual retirement income in future dollars                      (from line 1.H)</t>
  </si>
  <si>
    <t>Combined Social Security and Pensions in future dollars             (from line 2.F)</t>
  </si>
  <si>
    <t>Target Annual Income Needed from Investments, in future dollars          (A+B)</t>
  </si>
  <si>
    <t>Number of Years in retirement                                                   (from above)</t>
  </si>
  <si>
    <t>Expected interest rate in retirement                                             (from above)</t>
  </si>
  <si>
    <t>Expected inflation rate in retirement                                            (from above)</t>
  </si>
  <si>
    <t>Inflation adjusted return                               (1+nominal return)/(1+inflation)-1</t>
  </si>
  <si>
    <t>Step 4.  Determine how much have you Accumulated so far in Today's and Future Dollars</t>
  </si>
  <si>
    <t>Number of years till retirement                                                   (from above)</t>
  </si>
  <si>
    <t>Estimated growth rate in investments until retirement                    (from above)</t>
  </si>
  <si>
    <t>Estimate annual rate of inflation until retirement                            (from above)</t>
  </si>
  <si>
    <t>Projected value of current savings at retirement in future dollars</t>
  </si>
  <si>
    <t>This is the future value of your accumulated existing investments</t>
  </si>
  <si>
    <t>Step 5.  How much will you draw from home equity?</t>
  </si>
  <si>
    <t>Current value of your home in today's dollars</t>
  </si>
  <si>
    <t>This is your estimate of your home's value (be conservative) less the 6% real estate commission</t>
  </si>
  <si>
    <t>Estimated growth in your home's market value (may be different from inflation)</t>
  </si>
  <si>
    <t>This value may be greater or less than inflation</t>
  </si>
  <si>
    <t xml:space="preserve">Number of years to retirement                                                   (from above)             </t>
  </si>
  <si>
    <t>Estimated value of your home at retirement in future dollars</t>
  </si>
  <si>
    <t>Mortgage remaining at retirement (should be negative)</t>
  </si>
  <si>
    <t>This should be a negative as it is what you owe on your house</t>
  </si>
  <si>
    <t>Price of new home at retirement (should be negative)</t>
  </si>
  <si>
    <t>This should be a negative as it is what you will need to spend on your new house</t>
  </si>
  <si>
    <t>Home's estimated contribution to total investment needed in future dollars</t>
  </si>
  <si>
    <t>This is your retirement contribution of your house</t>
  </si>
  <si>
    <t>Step 6. How much more do you need to save?</t>
  </si>
  <si>
    <t>Step 7. Start saving now!!!!!!!!!</t>
  </si>
  <si>
    <t>This spreadsheet was adapted from the article in Kiplinger's, dated March 2001, by Mary Beth Franklin.</t>
  </si>
  <si>
    <t>Teaching Tool 6 - Retirement Planning Worksheet</t>
  </si>
  <si>
    <t>Purpose:</t>
  </si>
  <si>
    <t>The purpose of this spreadsheet is to give an Excel template for calculating</t>
  </si>
  <si>
    <t>the amount of money you will need to save each month or year given the specific</t>
  </si>
  <si>
    <t xml:space="preserve">estimates you input for your retirement variables.  Please use wisdom and be </t>
  </si>
  <si>
    <t>Disclosure:</t>
  </si>
  <si>
    <t>Total inflation adjusted Annuity required to give annual income  (beginning of period)    (PV)</t>
  </si>
  <si>
    <t>Preliminary Total Investment needed in future dollars for annual income             (from 3.J)</t>
  </si>
  <si>
    <t>Total Investment Shortfall in future dollars for annual income</t>
  </si>
  <si>
    <t>Total Investment Amount needed monthly to reach your monthly goal in today's dollars</t>
  </si>
  <si>
    <t>Total Investment Amount needed annually to reach your annual goal in today's dollars</t>
  </si>
  <si>
    <t>Personal Finance: Another Perspective</t>
  </si>
  <si>
    <t>Total Value of Taxable and Retirement Accounts</t>
  </si>
  <si>
    <t>These are your current investments from your taxable accounts</t>
  </si>
  <si>
    <t>These are your current investments from your retirement accounts</t>
  </si>
  <si>
    <t>Current value of taxable investment and savings account assets</t>
  </si>
  <si>
    <t>Current value of Retirement account assets (401K, IRAs, SEPs, etc.) in today's dollars</t>
  </si>
  <si>
    <t>Current savings in future dollars                                                                    (from 4.H)</t>
  </si>
  <si>
    <t>Contribution from home equity in future dollars                                              (from 5.G)</t>
  </si>
  <si>
    <t>Number of years until retirement                                                                (from above)</t>
  </si>
  <si>
    <t>Estimated growth rate in investments until retirement                                   (from above)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</si>
  <si>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</si>
  <si>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</si>
  <si>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</si>
  <si>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</si>
  <si>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</si>
  <si>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This is the number of years until you retire at your planned retirement age.</t>
  </si>
  <si>
    <t>This is the number of years you plan to be in retirement.</t>
  </si>
  <si>
    <t>Calculate your Shortfall in today's dollars</t>
  </si>
  <si>
    <t>Inflation Rate until retirement</t>
  </si>
  <si>
    <t>Step 1: Calculate Your Shortfall</t>
  </si>
  <si>
    <t>Nominal return during retirement</t>
  </si>
  <si>
    <t>Inflation during retirement</t>
  </si>
  <si>
    <t>Step 5. Start saving now!!!!!!!!!</t>
  </si>
  <si>
    <t xml:space="preserve">D. </t>
  </si>
  <si>
    <t>Estimate Growth Rate of Investments Before Retirement</t>
  </si>
  <si>
    <t>Total Investment Amount needed each month in today's dollars</t>
  </si>
  <si>
    <t>Number of Years Until Retirement</t>
  </si>
  <si>
    <t xml:space="preserve">The Inflation Adjusted shortfall? </t>
  </si>
  <si>
    <t>Number of Years till retirement</t>
  </si>
  <si>
    <t>Pre-retirement Information</t>
  </si>
  <si>
    <t>Retirement Information</t>
  </si>
  <si>
    <r>
      <t>Directions:</t>
    </r>
    <r>
      <rPr>
        <sz val="12"/>
        <rFont val="Times New Roman"/>
        <family val="1"/>
      </rPr>
      <t xml:space="preserve">  Fill the green cells with your data.  Be careful not to modify the blue cells.  Percentages must be</t>
    </r>
  </si>
  <si>
    <t>This is the amount of after-tax income you will need to replace</t>
  </si>
  <si>
    <t>After-tax annual living expenditures at retirement in today's dollars</t>
  </si>
  <si>
    <t>After-tax present level of your living expenditures in today's dollars</t>
  </si>
  <si>
    <t>After-tax base replacement level retirement expenditures in today's dollars</t>
  </si>
  <si>
    <t>Anticipated annual change in living expenditures after retirement</t>
  </si>
  <si>
    <t xml:space="preserve">                   must be converted to decimal form. Be careful with before- and after-tax amounts.</t>
  </si>
  <si>
    <t>Before-tax money expected at retirement (includes Social Security, DBP, earnings)</t>
  </si>
  <si>
    <t xml:space="preserve">E. </t>
  </si>
  <si>
    <t>This return is from your Investment Plan.  It is your expected portfolio return before retirement.</t>
  </si>
  <si>
    <t>This is your inflation return forecast until retirement.  Generally, I use between 1.5% and 2.5%.</t>
  </si>
  <si>
    <t>This is your current tax rate from your PFP Tax section</t>
  </si>
  <si>
    <t>This return is from your Investment Plan, and is your expected return in retirement.  Because of your higher bond component, this should be 1-1.5% less than your rate until retirement above.</t>
  </si>
  <si>
    <t>This is your inflation return forecast in retirement.  Generally, I use between 1.5% and 2.5%.</t>
  </si>
  <si>
    <t>What percentage of your income you need to replace with retirement money (typically it is 80% upon retirement)</t>
  </si>
  <si>
    <t>Your current tax rate                                                 (from above)</t>
  </si>
  <si>
    <t>This is what you expect to receive before-tax from any defined benefit plans</t>
  </si>
  <si>
    <t>Social Security will likely not increase with inflation.  So what we have is an inflation rate that will likely grow slower</t>
  </si>
  <si>
    <t>This is your combined Social Security and Pensions</t>
  </si>
  <si>
    <t>This is the annual amount you need each year in future dollars</t>
  </si>
  <si>
    <t>Step 2: Inflation Adjust Your Shortfall</t>
  </si>
  <si>
    <t>Step 3: Calculate Your Real Return and Annuity</t>
  </si>
  <si>
    <t>Step 4:  Calculate your Amount Needed to Save Each Month</t>
  </si>
  <si>
    <t>This is any annual before-tax money you will have at retirement, i.e., Social Security, pension plans, investment payouts, etc.</t>
  </si>
  <si>
    <t>This is the number of years before you expect to retire</t>
  </si>
  <si>
    <t>This is your average growth rate of investments before retirement, from your IPS section II.D.1</t>
  </si>
  <si>
    <t>This is the number of years you will be in retirement</t>
  </si>
  <si>
    <t>This is your target annual income in retirement dollars</t>
  </si>
  <si>
    <t>This is the size of the annuity you must get at retirement to give you your payments each period</t>
  </si>
  <si>
    <t>Target amount needed at retirement</t>
  </si>
  <si>
    <t>Estimated tax rate in retirement</t>
  </si>
  <si>
    <t>This is your estimated tax rate in retirement.</t>
  </si>
  <si>
    <t>Before Retirement</t>
  </si>
  <si>
    <t>Retirement</t>
  </si>
  <si>
    <t>Estimated Tax rate in Retirement</t>
  </si>
  <si>
    <t>Total Investment Amount needed annually in today's dollars</t>
  </si>
  <si>
    <t>This is your estimated inflation rate until retirement.  I generally recommend between 1.5-2.5%</t>
  </si>
  <si>
    <t>Amount needed each year in retirement</t>
  </si>
  <si>
    <t>conservative in your input variables,</t>
  </si>
  <si>
    <t>a.</t>
  </si>
  <si>
    <t>b.</t>
  </si>
  <si>
    <t>e.</t>
  </si>
  <si>
    <t>c.</t>
  </si>
  <si>
    <t>d.</t>
  </si>
  <si>
    <t>f.</t>
  </si>
  <si>
    <t>g.</t>
  </si>
  <si>
    <t>h.</t>
  </si>
  <si>
    <t>i.</t>
  </si>
  <si>
    <t>Amount Needed and Expected Annually</t>
  </si>
  <si>
    <t>Step 1: Estimate Your Annual Needs at Retirement Annually</t>
  </si>
  <si>
    <r>
      <t>Directions:</t>
    </r>
    <r>
      <rPr>
        <sz val="10"/>
        <rFont val="Times New Roman"/>
        <family val="1"/>
      </rPr>
      <t xml:space="preserve">  Fill the green cells with your data.  Be careful not to modify the blue cells.  Percentages</t>
    </r>
  </si>
  <si>
    <t>Real return [(1 + nominal return)/(1 + inflation)] - 1</t>
  </si>
  <si>
    <t>This is your average growth rate of investments in retirement, from your IPS section II.D.2</t>
  </si>
  <si>
    <t>Calculating After-tax Needs:</t>
  </si>
  <si>
    <t>Before-tax income needed</t>
  </si>
  <si>
    <t xml:space="preserve">LT6 requires a before-tax amount.  If you know </t>
  </si>
  <si>
    <t>know the before-tax number and tax rate, you can</t>
  </si>
  <si>
    <t>calculate the before-tax amount needed</t>
  </si>
  <si>
    <t>This is your estimated inflation rate in retirement.  I generally recommend between 1.5-3.5%</t>
  </si>
  <si>
    <t>Before-tax Money expected at retirement (SS, DBP, earnings)</t>
  </si>
  <si>
    <t>Desired before-tax Amount of Money Needed at Retirement</t>
  </si>
  <si>
    <t>Desired After-tax income needed</t>
  </si>
  <si>
    <t>Expected Retirement tax rate:</t>
  </si>
  <si>
    <t xml:space="preserve">Determining Your Retirement Needs Worksheet (LT06) </t>
  </si>
  <si>
    <t>Determining Your Retirement Needs Worksheet (LT06.2) - Detailed</t>
  </si>
  <si>
    <t>This is your desired/estimate of your after-tax amount of money you will need at retirement</t>
  </si>
  <si>
    <t>Number of Years Till Retirement that Investments Will Grow</t>
  </si>
  <si>
    <t>This is what you expect to receive before-tax from Social Security in today's dollars (don't plan on it)</t>
  </si>
  <si>
    <t>&lt;--how much you need to save per year</t>
  </si>
  <si>
    <t>&lt;--how much to save per month</t>
  </si>
  <si>
    <t>Less Detailed Before Tax Analysis</t>
  </si>
  <si>
    <t>More Detailed After Tax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</si>
</sst>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</numFmts>
  <fonts count="11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2" borderId="2" xfId="0" applyFont="1" applyFill="1" applyBorder="1" applyAlignment="1">
      <alignment horizontal="centerContinuous"/>
    </xf>
    <xf numFmtId="0" fontId="3" fillId="0" borderId="0" xfId="0" applyFont="1"/>
    <xf numFmtId="0" fontId="0" fillId="2" borderId="5" xfId="0" applyFill="1" applyBorder="1"/>
    <xf numFmtId="0" fontId="5" fillId="0" borderId="0" xfId="0" applyFont="1" applyBorder="1"/>
    <xf numFmtId="0" fontId="5" fillId="0" borderId="0" xfId="0" applyFont="1"/>
    <xf numFmtId="6" fontId="2" fillId="0" borderId="0" xfId="0" applyNumberFormat="1" applyFont="1"/>
    <xf numFmtId="0" fontId="2" fillId="0" borderId="15" xfId="0" applyFont="1" applyBorder="1"/>
    <xf numFmtId="0" fontId="5" fillId="0" borderId="0" xfId="3" applyFont="1"/>
    <xf numFmtId="0" fontId="2" fillId="0" borderId="0" xfId="3" applyFont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2" fillId="3" borderId="15" xfId="0" applyFont="1" applyFill="1" applyBorder="1"/>
    <xf numFmtId="165" fontId="2" fillId="4" borderId="14" xfId="1" applyNumberFormat="1" applyFont="1" applyFill="1" applyBorder="1"/>
    <xf numFmtId="164" fontId="2" fillId="4" borderId="15" xfId="4" applyNumberFormat="1" applyFont="1" applyFill="1" applyBorder="1"/>
    <xf numFmtId="10" fontId="2" fillId="4" borderId="8" xfId="4" applyNumberFormat="1" applyFont="1" applyFill="1" applyBorder="1"/>
    <xf numFmtId="165" fontId="2" fillId="3" borderId="14" xfId="1" applyNumberFormat="1" applyFont="1" applyFill="1" applyBorder="1"/>
    <xf numFmtId="164" fontId="2" fillId="3" borderId="8" xfId="4" applyNumberFormat="1" applyFont="1" applyFill="1" applyBorder="1"/>
    <xf numFmtId="165" fontId="2" fillId="4" borderId="15" xfId="1" applyNumberFormat="1" applyFont="1" applyFill="1" applyBorder="1"/>
    <xf numFmtId="165" fontId="2" fillId="4" borderId="8" xfId="1" applyNumberFormat="1" applyFont="1" applyFill="1" applyBorder="1"/>
    <xf numFmtId="167" fontId="2" fillId="5" borderId="8" xfId="1" applyNumberFormat="1" applyFont="1" applyFill="1" applyBorder="1"/>
    <xf numFmtId="0" fontId="2" fillId="5" borderId="8" xfId="0" applyFont="1" applyFill="1" applyBorder="1"/>
    <xf numFmtId="164" fontId="2" fillId="3" borderId="14" xfId="4" applyNumberFormat="1" applyFont="1" applyFill="1" applyBorder="1"/>
    <xf numFmtId="8" fontId="2" fillId="5" borderId="8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Continuous"/>
    </xf>
    <xf numFmtId="0" fontId="4" fillId="2" borderId="3" xfId="0" applyFont="1" applyFill="1" applyBorder="1"/>
    <xf numFmtId="0" fontId="4" fillId="0" borderId="0" xfId="0" applyFont="1"/>
    <xf numFmtId="0" fontId="8" fillId="2" borderId="5" xfId="0" applyFont="1" applyFill="1" applyBorder="1"/>
    <xf numFmtId="0" fontId="3" fillId="2" borderId="1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0" fillId="2" borderId="4" xfId="0" applyFill="1" applyBorder="1"/>
    <xf numFmtId="0" fontId="2" fillId="0" borderId="16" xfId="0" applyFont="1" applyBorder="1"/>
    <xf numFmtId="0" fontId="2" fillId="0" borderId="0" xfId="0" applyFont="1" applyFill="1" applyBorder="1"/>
    <xf numFmtId="164" fontId="2" fillId="3" borderId="0" xfId="4" applyNumberFormat="1" applyFont="1" applyFill="1" applyBorder="1"/>
    <xf numFmtId="9" fontId="2" fillId="3" borderId="0" xfId="4" applyFont="1" applyFill="1" applyBorder="1"/>
    <xf numFmtId="167" fontId="2" fillId="3" borderId="0" xfId="1" applyNumberFormat="1" applyFont="1" applyFill="1" applyBorder="1"/>
    <xf numFmtId="165" fontId="2" fillId="4" borderId="0" xfId="1" applyNumberFormat="1" applyFont="1" applyFill="1" applyBorder="1"/>
    <xf numFmtId="165" fontId="2" fillId="3" borderId="0" xfId="1" applyNumberFormat="1" applyFont="1" applyFill="1" applyBorder="1"/>
    <xf numFmtId="164" fontId="2" fillId="4" borderId="0" xfId="4" applyNumberFormat="1" applyFont="1" applyFill="1" applyBorder="1"/>
    <xf numFmtId="6" fontId="2" fillId="4" borderId="0" xfId="0" applyNumberFormat="1" applyFont="1" applyFill="1" applyBorder="1"/>
    <xf numFmtId="167" fontId="2" fillId="4" borderId="0" xfId="2" applyNumberFormat="1" applyFont="1" applyFill="1" applyBorder="1"/>
    <xf numFmtId="166" fontId="2" fillId="4" borderId="0" xfId="2" applyNumberFormat="1" applyFont="1" applyFill="1" applyBorder="1"/>
    <xf numFmtId="165" fontId="2" fillId="4" borderId="0" xfId="0" applyNumberFormat="1" applyFont="1" applyFill="1" applyBorder="1"/>
    <xf numFmtId="10" fontId="2" fillId="4" borderId="0" xfId="4" applyNumberFormat="1" applyFont="1" applyFill="1" applyBorder="1"/>
    <xf numFmtId="167" fontId="2" fillId="4" borderId="0" xfId="1" applyNumberFormat="1" applyFont="1" applyFill="1" applyBorder="1"/>
    <xf numFmtId="165" fontId="2" fillId="4" borderId="0" xfId="4" applyNumberFormat="1" applyFont="1" applyFill="1" applyBorder="1"/>
    <xf numFmtId="6" fontId="5" fillId="4" borderId="0" xfId="0" applyNumberFormat="1" applyFont="1" applyFill="1" applyBorder="1"/>
    <xf numFmtId="0" fontId="2" fillId="3" borderId="8" xfId="0" applyFont="1" applyFill="1" applyBorder="1"/>
    <xf numFmtId="9" fontId="2" fillId="3" borderId="14" xfId="4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3" fillId="6" borderId="17" xfId="0" applyFont="1" applyFill="1" applyBorder="1"/>
    <xf numFmtId="0" fontId="2" fillId="6" borderId="17" xfId="0" applyFont="1" applyFill="1" applyBorder="1"/>
    <xf numFmtId="0" fontId="5" fillId="6" borderId="17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4" fillId="2" borderId="6" xfId="0" applyFont="1" applyFill="1" applyBorder="1" applyAlignment="1">
      <alignment horizontal="center"/>
    </xf>
    <xf numFmtId="10" fontId="2" fillId="3" borderId="0" xfId="4" applyNumberFormat="1" applyFont="1" applyFill="1" applyBorder="1"/>
    <xf numFmtId="10" fontId="2" fillId="3" borderId="8" xfId="4" applyNumberFormat="1" applyFont="1" applyFill="1" applyBorder="1"/>
    <xf numFmtId="10" fontId="2" fillId="3" borderId="14" xfId="4" applyNumberFormat="1" applyFont="1" applyFill="1" applyBorder="1"/>
    <xf numFmtId="0" fontId="3" fillId="6" borderId="11" xfId="0" applyFont="1" applyFill="1" applyBorder="1"/>
    <xf numFmtId="0" fontId="2" fillId="6" borderId="11" xfId="0" applyFont="1" applyFill="1" applyBorder="1"/>
    <xf numFmtId="0" fontId="5" fillId="6" borderId="11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2" fillId="6" borderId="18" xfId="0" applyFont="1" applyFill="1" applyBorder="1"/>
    <xf numFmtId="0" fontId="4" fillId="2" borderId="1" xfId="0" applyFont="1" applyFill="1" applyBorder="1" applyAlignment="1">
      <alignment horizontal="centerContinuous"/>
    </xf>
    <xf numFmtId="165" fontId="2" fillId="3" borderId="15" xfId="1" applyNumberFormat="1" applyFont="1" applyFill="1" applyBorder="1"/>
    <xf numFmtId="166" fontId="2" fillId="5" borderId="8" xfId="2" applyNumberFormat="1" applyFont="1" applyFill="1" applyBorder="1"/>
    <xf numFmtId="0" fontId="2" fillId="7" borderId="10" xfId="0" applyFont="1" applyFill="1" applyBorder="1"/>
    <xf numFmtId="0" fontId="2" fillId="7" borderId="15" xfId="0" applyFont="1" applyFill="1" applyBorder="1"/>
    <xf numFmtId="0" fontId="2" fillId="7" borderId="12" xfId="0" applyFont="1" applyFill="1" applyBorder="1"/>
    <xf numFmtId="0" fontId="2" fillId="7" borderId="13" xfId="0" applyFont="1" applyFill="1" applyBorder="1"/>
    <xf numFmtId="0" fontId="2" fillId="7" borderId="14" xfId="0" applyFont="1" applyFill="1" applyBorder="1"/>
    <xf numFmtId="0" fontId="2" fillId="7" borderId="9" xfId="0" applyFont="1" applyFill="1" applyBorder="1"/>
    <xf numFmtId="0" fontId="2" fillId="7" borderId="7" xfId="0" applyFont="1" applyFill="1" applyBorder="1"/>
    <xf numFmtId="0" fontId="2" fillId="7" borderId="0" xfId="0" applyFont="1" applyFill="1" applyBorder="1"/>
    <xf numFmtId="0" fontId="2" fillId="7" borderId="8" xfId="0" applyFont="1" applyFill="1" applyBorder="1"/>
    <xf numFmtId="0" fontId="2" fillId="7" borderId="9" xfId="3" applyFont="1" applyFill="1" applyBorder="1"/>
    <xf numFmtId="0" fontId="2" fillId="7" borderId="10" xfId="3" applyFont="1" applyFill="1" applyBorder="1"/>
    <xf numFmtId="0" fontId="2" fillId="7" borderId="15" xfId="3" applyFont="1" applyFill="1" applyBorder="1"/>
    <xf numFmtId="0" fontId="2" fillId="7" borderId="7" xfId="3" applyFont="1" applyFill="1" applyBorder="1"/>
    <xf numFmtId="0" fontId="2" fillId="7" borderId="0" xfId="3" applyFont="1" applyFill="1" applyBorder="1"/>
    <xf numFmtId="0" fontId="2" fillId="7" borderId="8" xfId="3" applyFont="1" applyFill="1" applyBorder="1"/>
    <xf numFmtId="0" fontId="2" fillId="7" borderId="12" xfId="3" applyFont="1" applyFill="1" applyBorder="1"/>
    <xf numFmtId="0" fontId="2" fillId="7" borderId="13" xfId="3" applyFont="1" applyFill="1" applyBorder="1"/>
    <xf numFmtId="0" fontId="2" fillId="7" borderId="14" xfId="3" applyFont="1" applyFill="1" applyBorder="1"/>
    <xf numFmtId="0" fontId="4" fillId="2" borderId="17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16" xfId="0" applyFont="1" applyFill="1" applyBorder="1"/>
    <xf numFmtId="0" fontId="5" fillId="2" borderId="0" xfId="0" applyFont="1" applyFill="1" applyBorder="1" applyAlignment="1">
      <alignment horizontal="center"/>
    </xf>
    <xf numFmtId="0" fontId="2" fillId="8" borderId="17" xfId="0" applyFont="1" applyFill="1" applyBorder="1"/>
    <xf numFmtId="0" fontId="2" fillId="8" borderId="0" xfId="0" applyFont="1" applyFill="1" applyBorder="1"/>
    <xf numFmtId="0" fontId="2" fillId="8" borderId="16" xfId="0" applyFont="1" applyFill="1" applyBorder="1"/>
    <xf numFmtId="0" fontId="5" fillId="8" borderId="17" xfId="0" applyFont="1" applyFill="1" applyBorder="1"/>
    <xf numFmtId="0" fontId="5" fillId="8" borderId="0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/>
    <xf numFmtId="0" fontId="5" fillId="8" borderId="10" xfId="0" applyFont="1" applyFill="1" applyBorder="1"/>
    <xf numFmtId="0" fontId="2" fillId="8" borderId="12" xfId="0" applyFont="1" applyFill="1" applyBorder="1" applyAlignment="1">
      <alignment horizontal="right"/>
    </xf>
    <xf numFmtId="0" fontId="2" fillId="8" borderId="13" xfId="0" applyFont="1" applyFill="1" applyBorder="1"/>
    <xf numFmtId="0" fontId="5" fillId="8" borderId="13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9" xfId="0" applyFont="1" applyFill="1" applyBorder="1"/>
    <xf numFmtId="0" fontId="2" fillId="8" borderId="7" xfId="0" applyFont="1" applyFill="1" applyBorder="1"/>
    <xf numFmtId="0" fontId="2" fillId="8" borderId="12" xfId="0" applyFont="1" applyFill="1" applyBorder="1"/>
    <xf numFmtId="0" fontId="2" fillId="8" borderId="16" xfId="0" quotePrefix="1" applyFont="1" applyFill="1" applyBorder="1"/>
    <xf numFmtId="0" fontId="5" fillId="8" borderId="16" xfId="0" applyFont="1" applyFill="1" applyBorder="1"/>
    <xf numFmtId="0" fontId="2" fillId="8" borderId="0" xfId="0" applyFont="1" applyFill="1" applyBorder="1" applyAlignment="1">
      <alignment horizontal="left"/>
    </xf>
    <xf numFmtId="0" fontId="9" fillId="7" borderId="9" xfId="0" applyFont="1" applyFill="1" applyBorder="1"/>
    <xf numFmtId="0" fontId="10" fillId="7" borderId="10" xfId="0" applyFont="1" applyFill="1" applyBorder="1"/>
    <xf numFmtId="0" fontId="10" fillId="7" borderId="15" xfId="0" applyFont="1" applyFill="1" applyBorder="1"/>
    <xf numFmtId="0" fontId="10" fillId="7" borderId="12" xfId="0" applyFont="1" applyFill="1" applyBorder="1"/>
    <xf numFmtId="0" fontId="10" fillId="7" borderId="13" xfId="0" applyFont="1" applyFill="1" applyBorder="1"/>
    <xf numFmtId="0" fontId="9" fillId="7" borderId="13" xfId="0" applyFont="1" applyFill="1" applyBorder="1"/>
    <xf numFmtId="0" fontId="10" fillId="7" borderId="14" xfId="0" applyFont="1" applyFill="1" applyBorder="1"/>
    <xf numFmtId="0" fontId="5" fillId="8" borderId="9" xfId="0" applyFont="1" applyFill="1" applyBorder="1"/>
    <xf numFmtId="0" fontId="2" fillId="8" borderId="4" xfId="0" applyFont="1" applyFill="1" applyBorder="1"/>
    <xf numFmtId="0" fontId="2" fillId="8" borderId="5" xfId="0" applyFont="1" applyFill="1" applyBorder="1"/>
    <xf numFmtId="0" fontId="2" fillId="8" borderId="0" xfId="0" applyFont="1" applyFill="1" applyBorder="1" applyAlignment="1">
      <alignment horizontal="left" indent="1"/>
    </xf>
    <xf numFmtId="0" fontId="2" fillId="8" borderId="0" xfId="0" applyFont="1" applyFill="1" applyBorder="1" applyAlignment="1">
      <alignment horizontal="center"/>
    </xf>
    <xf numFmtId="0" fontId="6" fillId="8" borderId="5" xfId="0" applyFont="1" applyFill="1" applyBorder="1"/>
    <xf numFmtId="0" fontId="2" fillId="8" borderId="6" xfId="0" applyFont="1" applyFill="1" applyBorder="1"/>
    <xf numFmtId="0" fontId="2" fillId="8" borderId="15" xfId="0" applyFont="1" applyFill="1" applyBorder="1"/>
    <xf numFmtId="0" fontId="2" fillId="8" borderId="14" xfId="0" applyFont="1" applyFill="1" applyBorder="1"/>
    <xf numFmtId="165" fontId="2" fillId="9" borderId="16" xfId="1" applyNumberFormat="1" applyFont="1" applyFill="1" applyBorder="1"/>
    <xf numFmtId="164" fontId="2" fillId="9" borderId="16" xfId="0" applyNumberFormat="1" applyFont="1" applyFill="1" applyBorder="1"/>
    <xf numFmtId="165" fontId="2" fillId="5" borderId="6" xfId="1" applyNumberFormat="1" applyFont="1" applyFill="1" applyBorder="1"/>
    <xf numFmtId="0" fontId="2" fillId="8" borderId="17" xfId="0" applyFont="1" applyFill="1" applyBorder="1" applyAlignment="1">
      <alignment horizontal="left" indent="1"/>
    </xf>
    <xf numFmtId="166" fontId="2" fillId="5" borderId="15" xfId="2" applyNumberFormat="1" applyFont="1" applyFill="1" applyBorder="1" applyAlignment="1">
      <alignment horizontal="right"/>
    </xf>
    <xf numFmtId="164" fontId="2" fillId="5" borderId="8" xfId="4" applyNumberFormat="1" applyFont="1" applyFill="1" applyBorder="1" applyAlignment="1">
      <alignment horizontal="right"/>
    </xf>
    <xf numFmtId="0" fontId="2" fillId="6" borderId="16" xfId="0" applyFont="1" applyFill="1" applyBorder="1"/>
    <xf numFmtId="0" fontId="2" fillId="6" borderId="21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8" borderId="13" xfId="0" applyFont="1" applyFill="1" applyBorder="1" applyAlignment="1">
      <alignment horizontal="left"/>
    </xf>
    <xf numFmtId="0" fontId="6" fillId="8" borderId="14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Sheet1" xfId="3"/>
    <cellStyle name="Percent" xfId="4" builtinId="5"/>
  </cellStyles>
  <dxfs count="0"/>
  <tableStyles count="0" defaultTableStyle="TableStyleMedium9" defaultPivotStyle="PivotStyleLight16"/>
  <colors>
    <mruColors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E6" sqref="E6"/>
    </sheetView>
    <sheetView workbookViewId="1"/>
  </sheetViews>
  <sheetFormatPr defaultRowHeight="15.75" x14ac:dyDescent="0.25"/>
  <cols>
    <col min="1" max="4" width="9.140625" style="2"/>
    <col min="5" max="5" width="11.28515625" style="2" bestFit="1" customWidth="1"/>
    <col min="6" max="8" width="9.140625" style="2"/>
    <col min="9" max="9" width="12.7109375" style="2" customWidth="1"/>
    <col min="10" max="16384" width="9.140625" style="2"/>
  </cols>
  <sheetData>
    <row r="2" spans="2:11" x14ac:dyDescent="0.25">
      <c r="B2" s="140" t="s">
        <v>62</v>
      </c>
      <c r="C2" s="141"/>
      <c r="D2" s="141"/>
      <c r="E2" s="141"/>
      <c r="F2" s="141"/>
      <c r="G2" s="141"/>
      <c r="H2" s="141"/>
      <c r="I2" s="142"/>
    </row>
    <row r="3" spans="2:11" x14ac:dyDescent="0.25">
      <c r="B3" s="12"/>
      <c r="C3" s="13"/>
      <c r="D3" s="13"/>
      <c r="E3" s="15">
        <v>43552</v>
      </c>
      <c r="F3" s="13"/>
      <c r="G3" s="13"/>
      <c r="H3" s="13"/>
      <c r="I3" s="14"/>
    </row>
    <row r="4" spans="2:11" x14ac:dyDescent="0.25">
      <c r="B4" s="143" t="s">
        <v>73</v>
      </c>
      <c r="C4" s="144"/>
      <c r="D4" s="144"/>
      <c r="E4" s="144"/>
      <c r="F4" s="144"/>
      <c r="G4" s="144"/>
      <c r="H4" s="144"/>
      <c r="I4" s="145"/>
    </row>
    <row r="6" spans="2:11" x14ac:dyDescent="0.25">
      <c r="B6" s="7" t="s">
        <v>63</v>
      </c>
    </row>
    <row r="7" spans="2:11" x14ac:dyDescent="0.25">
      <c r="B7" s="80" t="s">
        <v>64</v>
      </c>
      <c r="C7" s="75"/>
      <c r="D7" s="75"/>
      <c r="E7" s="75"/>
      <c r="F7" s="75"/>
      <c r="G7" s="75"/>
      <c r="H7" s="75"/>
      <c r="I7" s="76"/>
    </row>
    <row r="8" spans="2:11" x14ac:dyDescent="0.25">
      <c r="B8" s="81" t="s">
        <v>65</v>
      </c>
      <c r="C8" s="82"/>
      <c r="D8" s="82"/>
      <c r="E8" s="82"/>
      <c r="F8" s="82"/>
      <c r="G8" s="82"/>
      <c r="H8" s="82"/>
      <c r="I8" s="83"/>
    </row>
    <row r="9" spans="2:11" x14ac:dyDescent="0.25">
      <c r="B9" s="81" t="s">
        <v>66</v>
      </c>
      <c r="C9" s="82"/>
      <c r="D9" s="82"/>
      <c r="E9" s="82"/>
      <c r="F9" s="82"/>
      <c r="G9" s="82"/>
      <c r="H9" s="82"/>
      <c r="I9" s="83"/>
    </row>
    <row r="10" spans="2:11" x14ac:dyDescent="0.25">
      <c r="B10" s="77" t="s">
        <v>142</v>
      </c>
      <c r="C10" s="78"/>
      <c r="D10" s="78"/>
      <c r="E10" s="78"/>
      <c r="F10" s="78"/>
      <c r="G10" s="78"/>
      <c r="H10" s="78"/>
      <c r="I10" s="79"/>
    </row>
    <row r="12" spans="2:11" x14ac:dyDescent="0.25">
      <c r="B12" s="10" t="s">
        <v>67</v>
      </c>
      <c r="C12" s="11"/>
      <c r="D12" s="11"/>
      <c r="E12" s="11"/>
      <c r="F12" s="11"/>
      <c r="G12" s="11"/>
      <c r="H12" s="11"/>
      <c r="I12" s="11"/>
      <c r="J12"/>
      <c r="K12"/>
    </row>
    <row r="13" spans="2:11" x14ac:dyDescent="0.25">
      <c r="B13" s="84" t="s">
        <v>83</v>
      </c>
      <c r="C13" s="85"/>
      <c r="D13" s="85"/>
      <c r="E13" s="85"/>
      <c r="F13" s="85"/>
      <c r="G13" s="85"/>
      <c r="H13" s="85"/>
      <c r="I13" s="86"/>
      <c r="J13"/>
      <c r="K13"/>
    </row>
    <row r="14" spans="2:11" x14ac:dyDescent="0.25">
      <c r="B14" s="87" t="s">
        <v>84</v>
      </c>
      <c r="C14" s="88"/>
      <c r="D14" s="88"/>
      <c r="E14" s="88"/>
      <c r="F14" s="88"/>
      <c r="G14" s="88"/>
      <c r="H14" s="88"/>
      <c r="I14" s="89"/>
      <c r="J14"/>
      <c r="K14"/>
    </row>
    <row r="15" spans="2:11" x14ac:dyDescent="0.25">
      <c r="B15" s="87" t="s">
        <v>85</v>
      </c>
      <c r="C15" s="88"/>
      <c r="D15" s="88"/>
      <c r="E15" s="88"/>
      <c r="F15" s="88"/>
      <c r="G15" s="88"/>
      <c r="H15" s="88"/>
      <c r="I15" s="89"/>
      <c r="J15"/>
      <c r="K15"/>
    </row>
    <row r="16" spans="2:11" x14ac:dyDescent="0.25">
      <c r="B16" s="87" t="s">
        <v>86</v>
      </c>
      <c r="C16" s="88"/>
      <c r="D16" s="88"/>
      <c r="E16" s="88"/>
      <c r="F16" s="88"/>
      <c r="G16" s="88"/>
      <c r="H16" s="88"/>
      <c r="I16" s="89"/>
      <c r="J16"/>
      <c r="K16"/>
    </row>
    <row r="17" spans="2:11" x14ac:dyDescent="0.25">
      <c r="B17" s="90" t="s">
        <v>87</v>
      </c>
      <c r="C17" s="91"/>
      <c r="D17" s="91"/>
      <c r="E17" s="91"/>
      <c r="F17" s="91"/>
      <c r="G17" s="91"/>
      <c r="H17" s="91"/>
      <c r="I17" s="92"/>
      <c r="J17"/>
      <c r="K17"/>
    </row>
  </sheetData>
  <mergeCells count="2">
    <mergeCell ref="B2:I2"/>
    <mergeCell ref="B4:I4"/>
  </mergeCells>
  <phoneticPr fontId="7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tabSelected="1" topLeftCell="B13" zoomScale="130" zoomScaleNormal="130" workbookViewId="0">
      <selection activeCell="F27" sqref="F27"/>
    </sheetView>
    <sheetView tabSelected="1" topLeftCell="B4" workbookViewId="1"/>
  </sheetViews>
  <sheetFormatPr defaultRowHeight="15.75" x14ac:dyDescent="0.25"/>
  <cols>
    <col min="1" max="1" width="0" style="2" hidden="1" customWidth="1"/>
    <col min="2" max="2" width="3.7109375" style="36" customWidth="1"/>
    <col min="3" max="4" width="3.7109375" style="1" customWidth="1"/>
    <col min="5" max="5" width="3.7109375" style="2" customWidth="1"/>
    <col min="6" max="7" width="15.7109375" style="2" customWidth="1"/>
    <col min="8" max="8" width="15.85546875" style="2" customWidth="1"/>
    <col min="9" max="9" width="12.5703125" style="2" customWidth="1"/>
    <col min="10" max="10" width="13.7109375" style="1" customWidth="1"/>
    <col min="11" max="11" width="3.7109375" style="2" customWidth="1"/>
    <col min="12" max="12" width="3.7109375" style="36" customWidth="1"/>
    <col min="13" max="13" width="3.7109375" style="2" customWidth="1"/>
    <col min="14" max="14" width="10.42578125" style="2" bestFit="1" customWidth="1"/>
    <col min="15" max="15" width="9.140625" style="2"/>
    <col min="16" max="16" width="11.140625" style="2" customWidth="1"/>
    <col min="17" max="17" width="11.7109375" style="2" bestFit="1" customWidth="1"/>
    <col min="18" max="16384" width="9.140625" style="2"/>
  </cols>
  <sheetData>
    <row r="1" spans="2:17" ht="16.5" thickBot="1" x14ac:dyDescent="0.3">
      <c r="B1" s="53"/>
      <c r="C1" s="54"/>
      <c r="D1" s="54"/>
      <c r="E1" s="54"/>
      <c r="F1" s="54"/>
      <c r="G1" s="54"/>
      <c r="H1" s="54"/>
      <c r="I1" s="54"/>
      <c r="J1" s="54"/>
      <c r="K1" s="71"/>
      <c r="L1" s="55"/>
    </row>
    <row r="2" spans="2:17" s="30" customFormat="1" ht="24.95" customHeight="1" x14ac:dyDescent="0.3">
      <c r="B2" s="56"/>
      <c r="C2" s="72"/>
      <c r="D2" s="3" t="s">
        <v>167</v>
      </c>
      <c r="E2" s="28"/>
      <c r="F2" s="28"/>
      <c r="G2" s="28"/>
      <c r="H2" s="28"/>
      <c r="I2" s="28"/>
      <c r="J2" s="28"/>
      <c r="K2" s="29"/>
      <c r="L2" s="66"/>
      <c r="N2" s="152" t="s">
        <v>159</v>
      </c>
      <c r="O2" s="153"/>
      <c r="P2" s="153"/>
      <c r="Q2" s="154"/>
    </row>
    <row r="3" spans="2:17" s="30" customFormat="1" ht="14.25" customHeight="1" x14ac:dyDescent="0.3">
      <c r="B3" s="56"/>
      <c r="C3" s="93"/>
      <c r="D3" s="164" t="s">
        <v>174</v>
      </c>
      <c r="E3" s="164"/>
      <c r="F3" s="164"/>
      <c r="G3" s="164"/>
      <c r="H3" s="164"/>
      <c r="I3" s="164"/>
      <c r="J3" s="164"/>
      <c r="K3" s="96"/>
      <c r="L3" s="66"/>
      <c r="N3" s="155" t="s">
        <v>160</v>
      </c>
      <c r="O3" s="156"/>
      <c r="P3" s="156"/>
      <c r="Q3" s="157"/>
    </row>
    <row r="4" spans="2:17" s="7" customFormat="1" ht="15.75" customHeight="1" thickBot="1" x14ac:dyDescent="0.35">
      <c r="B4" s="56"/>
      <c r="C4" s="69"/>
      <c r="D4" s="31"/>
      <c r="E4" s="165" t="s">
        <v>73</v>
      </c>
      <c r="F4" s="165"/>
      <c r="G4" s="165"/>
      <c r="H4" s="165"/>
      <c r="I4" s="165"/>
      <c r="J4" s="165"/>
      <c r="K4" s="70"/>
      <c r="L4" s="66"/>
      <c r="N4" s="158" t="s">
        <v>161</v>
      </c>
      <c r="O4" s="159"/>
      <c r="P4" s="159"/>
      <c r="Q4" s="160"/>
    </row>
    <row r="5" spans="2:17" x14ac:dyDescent="0.25">
      <c r="B5" s="57"/>
      <c r="C5" s="98"/>
      <c r="D5" s="99"/>
      <c r="E5" s="99"/>
      <c r="F5" s="99"/>
      <c r="G5" s="99"/>
      <c r="H5" s="99"/>
      <c r="I5" s="99"/>
      <c r="J5" s="99"/>
      <c r="K5" s="100"/>
      <c r="L5" s="67"/>
      <c r="N5" s="161" t="s">
        <v>157</v>
      </c>
      <c r="O5" s="162"/>
      <c r="P5" s="162"/>
      <c r="Q5" s="163"/>
    </row>
    <row r="6" spans="2:17" x14ac:dyDescent="0.25">
      <c r="B6" s="57"/>
      <c r="C6" s="101"/>
      <c r="D6" s="116" t="s">
        <v>154</v>
      </c>
      <c r="E6" s="117"/>
      <c r="F6" s="117"/>
      <c r="G6" s="117"/>
      <c r="H6" s="117"/>
      <c r="I6" s="117"/>
      <c r="J6" s="118"/>
      <c r="K6" s="100"/>
      <c r="L6" s="67"/>
      <c r="N6" s="98" t="s">
        <v>165</v>
      </c>
      <c r="O6" s="99"/>
      <c r="P6" s="99"/>
      <c r="Q6" s="132">
        <v>60000</v>
      </c>
    </row>
    <row r="7" spans="2:17" x14ac:dyDescent="0.25">
      <c r="B7" s="57"/>
      <c r="C7" s="98" t="s">
        <v>0</v>
      </c>
      <c r="D7" s="119" t="s">
        <v>110</v>
      </c>
      <c r="E7" s="120"/>
      <c r="F7" s="121"/>
      <c r="G7" s="121"/>
      <c r="H7" s="121"/>
      <c r="I7" s="121"/>
      <c r="J7" s="122"/>
      <c r="K7" s="100"/>
      <c r="L7" s="67"/>
      <c r="N7" s="135" t="s">
        <v>166</v>
      </c>
      <c r="O7" s="99"/>
      <c r="P7" s="99"/>
      <c r="Q7" s="133">
        <v>0.2</v>
      </c>
    </row>
    <row r="8" spans="2:17" ht="16.5" thickBot="1" x14ac:dyDescent="0.3">
      <c r="B8" s="57"/>
      <c r="C8" s="101"/>
      <c r="D8" s="102" t="s">
        <v>2</v>
      </c>
      <c r="E8" s="99"/>
      <c r="F8" s="102"/>
      <c r="G8" s="102"/>
      <c r="H8" s="102"/>
      <c r="I8" s="102"/>
      <c r="J8" s="99"/>
      <c r="K8" s="100"/>
      <c r="L8" s="67"/>
      <c r="N8" s="124" t="s">
        <v>158</v>
      </c>
      <c r="O8" s="125"/>
      <c r="P8" s="125"/>
      <c r="Q8" s="134">
        <f>Q6/(1-Q7)</f>
        <v>75000</v>
      </c>
    </row>
    <row r="9" spans="2:17" x14ac:dyDescent="0.25">
      <c r="B9" s="57"/>
      <c r="C9" s="101"/>
      <c r="D9" s="102"/>
      <c r="E9" s="102" t="s">
        <v>152</v>
      </c>
      <c r="F9" s="102"/>
      <c r="G9" s="102"/>
      <c r="H9" s="102"/>
      <c r="I9" s="102"/>
      <c r="J9" s="99"/>
      <c r="K9" s="100"/>
      <c r="L9" s="67"/>
    </row>
    <row r="10" spans="2:17" x14ac:dyDescent="0.25">
      <c r="B10" s="57"/>
      <c r="C10" s="98"/>
      <c r="D10" s="99"/>
      <c r="E10" s="103" t="s">
        <v>143</v>
      </c>
      <c r="F10" s="104" t="s">
        <v>164</v>
      </c>
      <c r="G10" s="105"/>
      <c r="H10" s="105"/>
      <c r="I10" s="105"/>
      <c r="J10" s="73">
        <v>75000</v>
      </c>
      <c r="K10" s="100"/>
      <c r="L10" s="67"/>
      <c r="N10" s="2" t="s">
        <v>169</v>
      </c>
    </row>
    <row r="11" spans="2:17" x14ac:dyDescent="0.25">
      <c r="B11" s="57"/>
      <c r="C11" s="98"/>
      <c r="D11" s="99"/>
      <c r="E11" s="106" t="s">
        <v>144</v>
      </c>
      <c r="F11" s="107" t="s">
        <v>163</v>
      </c>
      <c r="G11" s="108"/>
      <c r="H11" s="108"/>
      <c r="I11" s="108"/>
      <c r="J11" s="20">
        <v>14000</v>
      </c>
      <c r="K11" s="100"/>
      <c r="L11" s="67"/>
      <c r="N11" s="2" t="s">
        <v>127</v>
      </c>
    </row>
    <row r="12" spans="2:17" x14ac:dyDescent="0.25">
      <c r="B12" s="57"/>
      <c r="C12" s="98"/>
      <c r="D12" s="99"/>
      <c r="E12" s="102" t="s">
        <v>136</v>
      </c>
      <c r="F12" s="99"/>
      <c r="G12" s="102"/>
      <c r="H12" s="102"/>
      <c r="I12" s="102"/>
      <c r="J12" s="6"/>
      <c r="K12" s="100"/>
      <c r="L12" s="67"/>
    </row>
    <row r="13" spans="2:17" x14ac:dyDescent="0.25">
      <c r="B13" s="57"/>
      <c r="C13" s="98"/>
      <c r="D13" s="99"/>
      <c r="E13" s="103" t="s">
        <v>146</v>
      </c>
      <c r="F13" s="104" t="s">
        <v>170</v>
      </c>
      <c r="G13" s="105"/>
      <c r="H13" s="105"/>
      <c r="I13" s="105"/>
      <c r="J13" s="16">
        <v>35</v>
      </c>
      <c r="K13" s="100"/>
      <c r="L13" s="67"/>
      <c r="N13" s="2" t="s">
        <v>128</v>
      </c>
    </row>
    <row r="14" spans="2:17" x14ac:dyDescent="0.25">
      <c r="B14" s="57"/>
      <c r="C14" s="98"/>
      <c r="D14" s="99"/>
      <c r="E14" s="109" t="s">
        <v>147</v>
      </c>
      <c r="F14" s="99" t="s">
        <v>5</v>
      </c>
      <c r="G14" s="102"/>
      <c r="H14" s="102"/>
      <c r="I14" s="102"/>
      <c r="J14" s="21">
        <v>7.0000000000000007E-2</v>
      </c>
      <c r="K14" s="100"/>
      <c r="L14" s="67"/>
      <c r="N14" s="2" t="s">
        <v>129</v>
      </c>
    </row>
    <row r="15" spans="2:17" x14ac:dyDescent="0.25">
      <c r="B15" s="57"/>
      <c r="C15" s="98"/>
      <c r="D15" s="99"/>
      <c r="E15" s="106" t="s">
        <v>145</v>
      </c>
      <c r="F15" s="107" t="s">
        <v>6</v>
      </c>
      <c r="G15" s="108"/>
      <c r="H15" s="108"/>
      <c r="I15" s="108"/>
      <c r="J15" s="26">
        <v>0.02</v>
      </c>
      <c r="K15" s="100"/>
      <c r="L15" s="67"/>
      <c r="N15" s="2" t="s">
        <v>140</v>
      </c>
    </row>
    <row r="16" spans="2:17" x14ac:dyDescent="0.25">
      <c r="B16" s="57"/>
      <c r="C16" s="98"/>
      <c r="D16" s="99"/>
      <c r="E16" s="102" t="s">
        <v>137</v>
      </c>
      <c r="F16" s="99"/>
      <c r="G16" s="102"/>
      <c r="H16" s="102"/>
      <c r="I16" s="102"/>
      <c r="K16" s="100"/>
      <c r="L16" s="67"/>
    </row>
    <row r="17" spans="2:14" x14ac:dyDescent="0.25">
      <c r="B17" s="57"/>
      <c r="C17" s="98"/>
      <c r="D17" s="99"/>
      <c r="E17" s="103" t="s">
        <v>148</v>
      </c>
      <c r="F17" s="104" t="s">
        <v>7</v>
      </c>
      <c r="G17" s="105"/>
      <c r="H17" s="105"/>
      <c r="I17" s="105"/>
      <c r="J17" s="16">
        <v>30</v>
      </c>
      <c r="K17" s="100"/>
      <c r="L17" s="67"/>
      <c r="N17" s="2" t="s">
        <v>130</v>
      </c>
    </row>
    <row r="18" spans="2:14" x14ac:dyDescent="0.25">
      <c r="B18" s="57"/>
      <c r="C18" s="98"/>
      <c r="D18" s="99"/>
      <c r="E18" s="109" t="s">
        <v>149</v>
      </c>
      <c r="F18" s="99" t="s">
        <v>8</v>
      </c>
      <c r="G18" s="102"/>
      <c r="H18" s="102"/>
      <c r="I18" s="102"/>
      <c r="J18" s="21">
        <v>0.06</v>
      </c>
      <c r="K18" s="100"/>
      <c r="L18" s="67"/>
      <c r="N18" s="2" t="s">
        <v>156</v>
      </c>
    </row>
    <row r="19" spans="2:14" x14ac:dyDescent="0.25">
      <c r="B19" s="57"/>
      <c r="C19" s="98"/>
      <c r="D19" s="99"/>
      <c r="E19" s="109" t="s">
        <v>150</v>
      </c>
      <c r="F19" s="99" t="s">
        <v>9</v>
      </c>
      <c r="G19" s="102"/>
      <c r="H19" s="102"/>
      <c r="I19" s="102"/>
      <c r="J19" s="21">
        <v>0.02</v>
      </c>
      <c r="K19" s="100"/>
      <c r="L19" s="67"/>
      <c r="N19" s="2" t="s">
        <v>162</v>
      </c>
    </row>
    <row r="20" spans="2:14" x14ac:dyDescent="0.25">
      <c r="B20" s="57"/>
      <c r="C20" s="98"/>
      <c r="D20" s="99"/>
      <c r="E20" s="106" t="s">
        <v>151</v>
      </c>
      <c r="F20" s="107" t="s">
        <v>134</v>
      </c>
      <c r="G20" s="108"/>
      <c r="H20" s="108"/>
      <c r="I20" s="108"/>
      <c r="J20" s="26"/>
      <c r="K20" s="100"/>
      <c r="L20" s="67"/>
      <c r="N20" s="2" t="s">
        <v>135</v>
      </c>
    </row>
    <row r="21" spans="2:14" ht="16.5" thickBot="1" x14ac:dyDescent="0.3">
      <c r="B21" s="57"/>
      <c r="C21" s="98"/>
      <c r="D21" s="99"/>
      <c r="E21" s="99"/>
      <c r="F21" s="99"/>
      <c r="G21" s="99"/>
      <c r="H21" s="99"/>
      <c r="I21" s="99"/>
      <c r="J21" s="99"/>
      <c r="K21" s="100"/>
      <c r="L21" s="67"/>
    </row>
    <row r="22" spans="2:14" ht="16.5" thickBot="1" x14ac:dyDescent="0.3">
      <c r="B22" s="57"/>
      <c r="C22" s="71"/>
      <c r="D22" s="71"/>
      <c r="E22" s="71"/>
      <c r="F22" s="71"/>
      <c r="G22" s="71"/>
      <c r="H22" s="71"/>
      <c r="I22" s="71"/>
      <c r="J22" s="71"/>
      <c r="K22" s="71"/>
      <c r="L22" s="138"/>
    </row>
    <row r="23" spans="2:14" x14ac:dyDescent="0.25">
      <c r="B23" s="57"/>
      <c r="C23" s="98"/>
      <c r="D23" s="99"/>
      <c r="E23" s="99"/>
      <c r="F23" s="99"/>
      <c r="G23" s="99"/>
      <c r="H23" s="99"/>
      <c r="I23" s="99"/>
      <c r="J23" s="99"/>
      <c r="K23" s="100"/>
      <c r="L23" s="67"/>
    </row>
    <row r="24" spans="2:14" x14ac:dyDescent="0.25">
      <c r="B24" s="57"/>
      <c r="C24" s="98"/>
      <c r="D24" s="102" t="s">
        <v>92</v>
      </c>
      <c r="E24" s="99"/>
      <c r="F24" s="99"/>
      <c r="G24" s="99"/>
      <c r="H24" s="99"/>
      <c r="I24" s="99"/>
      <c r="J24" s="99"/>
      <c r="K24" s="100"/>
      <c r="L24" s="67"/>
    </row>
    <row r="25" spans="2:14" x14ac:dyDescent="0.25">
      <c r="B25" s="57"/>
      <c r="C25" s="98"/>
      <c r="D25" s="99"/>
      <c r="E25" s="110" t="s">
        <v>10</v>
      </c>
      <c r="F25" s="104" t="s">
        <v>164</v>
      </c>
      <c r="G25" s="105"/>
      <c r="H25" s="105"/>
      <c r="I25" s="105"/>
      <c r="J25" s="22">
        <f>J10</f>
        <v>75000</v>
      </c>
      <c r="K25" s="100"/>
      <c r="L25" s="67"/>
    </row>
    <row r="26" spans="2:14" x14ac:dyDescent="0.25">
      <c r="B26" s="57"/>
      <c r="C26" s="98"/>
      <c r="D26" s="99"/>
      <c r="E26" s="111" t="s">
        <v>12</v>
      </c>
      <c r="F26" s="99" t="s">
        <v>111</v>
      </c>
      <c r="G26" s="102"/>
      <c r="H26" s="102"/>
      <c r="I26" s="102"/>
      <c r="J26" s="23">
        <f>J11</f>
        <v>14000</v>
      </c>
      <c r="K26" s="100"/>
      <c r="L26" s="67"/>
    </row>
    <row r="27" spans="2:14" x14ac:dyDescent="0.25">
      <c r="B27" s="57"/>
      <c r="C27" s="98"/>
      <c r="D27" s="99"/>
      <c r="E27" s="112" t="s">
        <v>14</v>
      </c>
      <c r="F27" s="107" t="s">
        <v>90</v>
      </c>
      <c r="G27" s="107"/>
      <c r="H27" s="107"/>
      <c r="I27" s="107"/>
      <c r="J27" s="17">
        <f>J25-J26</f>
        <v>61000</v>
      </c>
      <c r="K27" s="100"/>
      <c r="L27" s="67"/>
    </row>
    <row r="28" spans="2:14" x14ac:dyDescent="0.25">
      <c r="B28" s="57"/>
      <c r="C28" s="98"/>
      <c r="D28" s="99"/>
      <c r="E28" s="99"/>
      <c r="F28" s="99"/>
      <c r="G28" s="99"/>
      <c r="H28" s="99"/>
      <c r="I28" s="99"/>
      <c r="J28" s="99"/>
      <c r="K28" s="100"/>
      <c r="L28" s="67"/>
    </row>
    <row r="29" spans="2:14" x14ac:dyDescent="0.25">
      <c r="B29" s="57"/>
      <c r="C29" s="98"/>
      <c r="D29" s="102" t="s">
        <v>124</v>
      </c>
      <c r="E29" s="99"/>
      <c r="F29" s="99"/>
      <c r="G29" s="99"/>
      <c r="H29" s="99"/>
      <c r="I29" s="99"/>
      <c r="J29" s="99"/>
      <c r="K29" s="100"/>
      <c r="L29" s="67"/>
    </row>
    <row r="30" spans="2:14" x14ac:dyDescent="0.25">
      <c r="B30" s="57"/>
      <c r="C30" s="98"/>
      <c r="D30" s="99"/>
      <c r="E30" s="110" t="s">
        <v>10</v>
      </c>
      <c r="F30" s="104" t="s">
        <v>3</v>
      </c>
      <c r="G30" s="105"/>
      <c r="H30" s="105"/>
      <c r="I30" s="105"/>
      <c r="J30" s="22">
        <f>J13</f>
        <v>35</v>
      </c>
      <c r="K30" s="100"/>
      <c r="L30" s="67"/>
    </row>
    <row r="31" spans="2:14" x14ac:dyDescent="0.25">
      <c r="B31" s="57"/>
      <c r="C31" s="98"/>
      <c r="D31" s="99"/>
      <c r="E31" s="111" t="s">
        <v>12</v>
      </c>
      <c r="F31" s="99" t="s">
        <v>91</v>
      </c>
      <c r="G31" s="99"/>
      <c r="H31" s="99"/>
      <c r="I31" s="99"/>
      <c r="J31" s="19">
        <f>J15</f>
        <v>0.02</v>
      </c>
      <c r="K31" s="100"/>
      <c r="L31" s="67"/>
    </row>
    <row r="32" spans="2:14" x14ac:dyDescent="0.25">
      <c r="B32" s="57"/>
      <c r="C32" s="98"/>
      <c r="D32" s="99"/>
      <c r="E32" s="111" t="s">
        <v>14</v>
      </c>
      <c r="F32" s="99" t="s">
        <v>100</v>
      </c>
      <c r="G32" s="99"/>
      <c r="H32" s="99"/>
      <c r="I32" s="99"/>
      <c r="J32" s="23">
        <f>FV(J31,J13,,-J27,)</f>
        <v>121993.26271240973</v>
      </c>
      <c r="K32" s="100"/>
      <c r="L32" s="67"/>
    </row>
    <row r="33" spans="2:12" x14ac:dyDescent="0.25">
      <c r="B33" s="57"/>
      <c r="C33" s="98"/>
      <c r="D33" s="99"/>
      <c r="E33" s="112"/>
      <c r="F33" s="146" t="str">
        <f>"     The calculation is PV = "&amp;TEXT(J27,"$#,##0")&amp;" I = "&amp;TEXT(J15,"0.00%")&amp;", N = "&amp;J13&amp;", Solve for FV"</f>
        <v xml:space="preserve">     The calculation is PV = $61,000 I = 2.00%, N = 35, Solve for FV</v>
      </c>
      <c r="G33" s="146"/>
      <c r="H33" s="146"/>
      <c r="I33" s="146"/>
      <c r="J33" s="147"/>
      <c r="K33" s="113"/>
      <c r="L33" s="67"/>
    </row>
    <row r="34" spans="2:12" x14ac:dyDescent="0.25">
      <c r="B34" s="57"/>
      <c r="C34" s="98"/>
      <c r="D34" s="99"/>
      <c r="E34" s="99"/>
      <c r="F34" s="99"/>
      <c r="G34" s="99"/>
      <c r="H34" s="99"/>
      <c r="I34" s="99"/>
      <c r="J34" s="99"/>
      <c r="K34" s="100"/>
      <c r="L34" s="67"/>
    </row>
    <row r="35" spans="2:12" x14ac:dyDescent="0.25">
      <c r="B35" s="57"/>
      <c r="C35" s="98"/>
      <c r="D35" s="102" t="s">
        <v>125</v>
      </c>
      <c r="E35" s="99"/>
      <c r="F35" s="99"/>
      <c r="G35" s="99"/>
      <c r="H35" s="99"/>
      <c r="I35" s="99"/>
      <c r="J35" s="99"/>
      <c r="K35" s="100"/>
      <c r="L35" s="67"/>
    </row>
    <row r="36" spans="2:12" x14ac:dyDescent="0.25">
      <c r="B36" s="57"/>
      <c r="C36" s="98"/>
      <c r="D36" s="99"/>
      <c r="E36" s="110" t="s">
        <v>10</v>
      </c>
      <c r="F36" s="104" t="s">
        <v>93</v>
      </c>
      <c r="G36" s="104"/>
      <c r="H36" s="104"/>
      <c r="I36" s="104"/>
      <c r="J36" s="18">
        <f>J18</f>
        <v>0.06</v>
      </c>
      <c r="K36" s="100"/>
      <c r="L36" s="67"/>
    </row>
    <row r="37" spans="2:12" x14ac:dyDescent="0.25">
      <c r="B37" s="57"/>
      <c r="C37" s="98"/>
      <c r="D37" s="99"/>
      <c r="E37" s="111" t="s">
        <v>12</v>
      </c>
      <c r="F37" s="99" t="s">
        <v>94</v>
      </c>
      <c r="G37" s="99"/>
      <c r="H37" s="99"/>
      <c r="I37" s="99"/>
      <c r="J37" s="19">
        <f>J19</f>
        <v>0.02</v>
      </c>
      <c r="K37" s="100"/>
      <c r="L37" s="67"/>
    </row>
    <row r="38" spans="2:12" x14ac:dyDescent="0.25">
      <c r="B38" s="57"/>
      <c r="C38" s="98"/>
      <c r="D38" s="99"/>
      <c r="E38" s="111" t="s">
        <v>14</v>
      </c>
      <c r="F38" s="99" t="s">
        <v>155</v>
      </c>
      <c r="G38" s="99"/>
      <c r="H38" s="99"/>
      <c r="I38" s="99"/>
      <c r="J38" s="19">
        <f>(1+J36)/(1+J37)-1</f>
        <v>3.9215686274509887E-2</v>
      </c>
      <c r="K38" s="100"/>
      <c r="L38" s="67"/>
    </row>
    <row r="39" spans="2:12" x14ac:dyDescent="0.25">
      <c r="B39" s="58"/>
      <c r="C39" s="98"/>
      <c r="D39" s="99"/>
      <c r="E39" s="111" t="s">
        <v>15</v>
      </c>
      <c r="F39" s="99" t="s">
        <v>141</v>
      </c>
      <c r="G39" s="99"/>
      <c r="H39" s="99"/>
      <c r="I39" s="99"/>
      <c r="J39" s="24">
        <f>J32</f>
        <v>121993.26271240973</v>
      </c>
      <c r="K39" s="100"/>
      <c r="L39" s="68"/>
    </row>
    <row r="40" spans="2:12" x14ac:dyDescent="0.25">
      <c r="B40" s="57"/>
      <c r="C40" s="98"/>
      <c r="D40" s="99"/>
      <c r="E40" s="111" t="s">
        <v>17</v>
      </c>
      <c r="F40" s="99" t="s">
        <v>7</v>
      </c>
      <c r="G40" s="99"/>
      <c r="H40" s="99"/>
      <c r="I40" s="99"/>
      <c r="J40" s="25">
        <f>J17</f>
        <v>30</v>
      </c>
      <c r="K40" s="100"/>
      <c r="L40" s="67"/>
    </row>
    <row r="41" spans="2:12" x14ac:dyDescent="0.25">
      <c r="B41" s="57"/>
      <c r="C41" s="98"/>
      <c r="D41" s="99"/>
      <c r="E41" s="111" t="s">
        <v>18</v>
      </c>
      <c r="F41" s="99" t="str">
        <f>"Annuity needed to provide this benefit?"</f>
        <v>Annuity needed to provide this benefit?</v>
      </c>
      <c r="G41" s="99"/>
      <c r="H41" s="99"/>
      <c r="I41" s="99"/>
      <c r="J41" s="74">
        <f>PV(J38,J40,-J39,,1)</f>
        <v>2213265.8591944375</v>
      </c>
      <c r="K41" s="100"/>
      <c r="L41" s="67"/>
    </row>
    <row r="42" spans="2:12" x14ac:dyDescent="0.25">
      <c r="B42" s="57"/>
      <c r="C42" s="98"/>
      <c r="D42" s="99"/>
      <c r="E42" s="112"/>
      <c r="F42" s="148" t="str">
        <f>"The calculation is PMT = "&amp;TEXT(J39,"$0,000.")&amp;", I = "&amp;TEXT(J38,"0.00%")&amp;", N = "&amp;J40&amp;" (begin mode), Solve for FV"</f>
        <v>The calculation is PMT = $121,993., I = 3.92%, N = 30 (begin mode), Solve for FV</v>
      </c>
      <c r="G42" s="148"/>
      <c r="H42" s="148"/>
      <c r="I42" s="148"/>
      <c r="J42" s="149"/>
      <c r="K42" s="100"/>
      <c r="L42" s="67"/>
    </row>
    <row r="43" spans="2:12" x14ac:dyDescent="0.25">
      <c r="B43" s="57"/>
      <c r="C43" s="98"/>
      <c r="D43" s="99"/>
      <c r="E43" s="99"/>
      <c r="F43" s="99"/>
      <c r="G43" s="99"/>
      <c r="H43" s="99"/>
      <c r="I43" s="99"/>
      <c r="J43" s="99"/>
      <c r="K43" s="100"/>
      <c r="L43" s="67"/>
    </row>
    <row r="44" spans="2:12" s="7" customFormat="1" x14ac:dyDescent="0.25">
      <c r="B44" s="57"/>
      <c r="C44" s="101"/>
      <c r="D44" s="102" t="s">
        <v>126</v>
      </c>
      <c r="E44" s="102"/>
      <c r="F44" s="102"/>
      <c r="G44" s="102"/>
      <c r="H44" s="102"/>
      <c r="I44" s="102"/>
      <c r="J44" s="102"/>
      <c r="K44" s="114"/>
      <c r="L44" s="67"/>
    </row>
    <row r="45" spans="2:12" x14ac:dyDescent="0.25">
      <c r="B45" s="57"/>
      <c r="C45" s="98"/>
      <c r="D45" s="99"/>
      <c r="E45" s="110" t="s">
        <v>10</v>
      </c>
      <c r="F45" s="104" t="s">
        <v>133</v>
      </c>
      <c r="G45" s="104"/>
      <c r="H45" s="104"/>
      <c r="I45" s="104"/>
      <c r="J45" s="136">
        <f>J41</f>
        <v>2213265.8591944375</v>
      </c>
      <c r="K45" s="100"/>
      <c r="L45" s="67"/>
    </row>
    <row r="46" spans="2:12" x14ac:dyDescent="0.25">
      <c r="B46" s="57"/>
      <c r="C46" s="98"/>
      <c r="D46" s="99"/>
      <c r="E46" s="111" t="s">
        <v>12</v>
      </c>
      <c r="F46" s="99" t="s">
        <v>99</v>
      </c>
      <c r="G46" s="102"/>
      <c r="H46" s="102"/>
      <c r="I46" s="102"/>
      <c r="J46" s="25">
        <f>J13</f>
        <v>35</v>
      </c>
      <c r="K46" s="100"/>
      <c r="L46" s="67"/>
    </row>
    <row r="47" spans="2:12" x14ac:dyDescent="0.25">
      <c r="B47" s="57"/>
      <c r="C47" s="98"/>
      <c r="D47" s="99"/>
      <c r="E47" s="111" t="s">
        <v>14</v>
      </c>
      <c r="F47" s="99" t="s">
        <v>97</v>
      </c>
      <c r="G47" s="102"/>
      <c r="H47" s="102"/>
      <c r="I47" s="102"/>
      <c r="J47" s="137">
        <f>IF(J13=0,"NA",J14)</f>
        <v>7.0000000000000007E-2</v>
      </c>
      <c r="K47" s="100"/>
      <c r="L47" s="67"/>
    </row>
    <row r="48" spans="2:12" x14ac:dyDescent="0.25">
      <c r="B48" s="57"/>
      <c r="C48" s="98"/>
      <c r="D48" s="99"/>
      <c r="E48" s="111" t="s">
        <v>96</v>
      </c>
      <c r="F48" s="99" t="s">
        <v>98</v>
      </c>
      <c r="G48" s="102"/>
      <c r="H48" s="102"/>
      <c r="I48" s="102"/>
      <c r="J48" s="27" t="str">
        <f>IF(J13=0,"NA",TEXT(PMT($J$47/12,$J$46*12,0,-$J$45),"$#,##0"))</f>
        <v>$1,229</v>
      </c>
      <c r="K48" s="100"/>
      <c r="L48" s="67"/>
    </row>
    <row r="49" spans="2:15" x14ac:dyDescent="0.25">
      <c r="B49" s="57"/>
      <c r="C49" s="98"/>
      <c r="D49" s="99"/>
      <c r="E49" s="111"/>
      <c r="F49" s="150" t="str">
        <f>"     The calculation is FV = "&amp;TEXT($J$45,"$#,##0")&amp;",  N = "&amp;$J$46&amp;"*12, I = "&amp;TEXT($J$47,"0.00%")&amp;"/12, Solve for PMT"</f>
        <v xml:space="preserve">     The calculation is FV = $2,213,266,  N = 35*12, I = 7.00%/12, Solve for PMT</v>
      </c>
      <c r="G49" s="150"/>
      <c r="H49" s="150"/>
      <c r="I49" s="150"/>
      <c r="J49" s="151"/>
      <c r="K49" s="100"/>
      <c r="L49" s="67"/>
    </row>
    <row r="50" spans="2:15" x14ac:dyDescent="0.25">
      <c r="B50" s="57"/>
      <c r="C50" s="98"/>
      <c r="D50" s="99"/>
      <c r="E50" s="111" t="s">
        <v>112</v>
      </c>
      <c r="F50" s="99" t="s">
        <v>139</v>
      </c>
      <c r="G50" s="99"/>
      <c r="H50" s="99"/>
      <c r="I50" s="99"/>
      <c r="J50" s="27" t="str">
        <f>IF(J13=0,"NA",TEXT(PMT($J$47,$J$46,0,-$J$45),"$#,##0"))</f>
        <v>$16,011</v>
      </c>
      <c r="K50" s="35"/>
      <c r="L50" s="67"/>
    </row>
    <row r="51" spans="2:15" x14ac:dyDescent="0.25">
      <c r="B51" s="57"/>
      <c r="C51" s="98"/>
      <c r="D51" s="99"/>
      <c r="E51" s="112"/>
      <c r="F51" s="146" t="str">
        <f>"     The calculation is FV = "&amp;TEXT($J$45,"$#,##0")&amp;",  N = "&amp;$J$46&amp;",  I = "&amp;TEXT($J$47,"0.00%")&amp;", Solve for PMT"</f>
        <v xml:space="preserve">     The calculation is FV = $2,213,266,  N = 35,  I = 7.00%, Solve for PMT</v>
      </c>
      <c r="G51" s="146"/>
      <c r="H51" s="146"/>
      <c r="I51" s="146"/>
      <c r="J51" s="147"/>
      <c r="K51" s="100"/>
      <c r="L51" s="67"/>
      <c r="O51" s="8"/>
    </row>
    <row r="52" spans="2:15" x14ac:dyDescent="0.25">
      <c r="B52" s="57"/>
      <c r="C52" s="98"/>
      <c r="D52" s="99"/>
      <c r="E52" s="99"/>
      <c r="F52" s="99"/>
      <c r="G52" s="99"/>
      <c r="H52" s="99"/>
      <c r="I52" s="99"/>
      <c r="J52" s="99"/>
      <c r="K52" s="100"/>
      <c r="L52" s="67"/>
    </row>
    <row r="53" spans="2:15" x14ac:dyDescent="0.25">
      <c r="B53" s="57"/>
      <c r="C53" s="98"/>
      <c r="D53" s="102" t="s">
        <v>95</v>
      </c>
      <c r="E53" s="99"/>
      <c r="F53" s="99"/>
      <c r="G53" s="99"/>
      <c r="H53" s="99"/>
      <c r="I53" s="99"/>
      <c r="J53" s="99"/>
      <c r="K53" s="100"/>
      <c r="L53" s="67"/>
    </row>
    <row r="54" spans="2:15" s="7" customFormat="1" hidden="1" x14ac:dyDescent="0.25">
      <c r="B54" s="58"/>
      <c r="C54" s="101"/>
      <c r="D54" s="102"/>
      <c r="E54" s="102"/>
      <c r="F54" s="102"/>
      <c r="G54" s="102"/>
      <c r="H54" s="102"/>
      <c r="I54" s="102"/>
      <c r="J54" s="102"/>
      <c r="K54" s="114"/>
      <c r="L54" s="68"/>
    </row>
    <row r="55" spans="2:15" s="1" customFormat="1" ht="16.5" thickBot="1" x14ac:dyDescent="0.3">
      <c r="B55" s="59"/>
      <c r="C55" s="139"/>
      <c r="D55" s="139"/>
      <c r="E55" s="139"/>
      <c r="F55" s="139"/>
      <c r="G55" s="139"/>
      <c r="H55" s="139"/>
      <c r="I55" s="139"/>
      <c r="J55" s="139"/>
      <c r="K55" s="139"/>
      <c r="L55" s="61"/>
    </row>
  </sheetData>
  <mergeCells count="10">
    <mergeCell ref="F51:J51"/>
    <mergeCell ref="F42:J42"/>
    <mergeCell ref="F33:J33"/>
    <mergeCell ref="F49:J49"/>
    <mergeCell ref="N2:Q2"/>
    <mergeCell ref="N3:Q3"/>
    <mergeCell ref="N4:Q4"/>
    <mergeCell ref="N5:Q5"/>
    <mergeCell ref="D3:J3"/>
    <mergeCell ref="E4:J4"/>
  </mergeCells>
  <pageMargins left="1.45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120" zoomScaleNormal="120" workbookViewId="0">
      <selection activeCell="D4" sqref="D4:I4"/>
    </sheetView>
    <sheetView workbookViewId="1">
      <selection activeCell="G3" sqref="G3"/>
    </sheetView>
  </sheetViews>
  <sheetFormatPr defaultRowHeight="15.75" x14ac:dyDescent="0.25"/>
  <cols>
    <col min="1" max="2" width="3.7109375" style="36" customWidth="1"/>
    <col min="3" max="4" width="3.7109375" style="1" customWidth="1"/>
    <col min="5" max="6" width="15.7109375" style="1" customWidth="1"/>
    <col min="7" max="7" width="28.7109375" style="1" customWidth="1"/>
    <col min="8" max="8" width="29.5703125" style="1" customWidth="1"/>
    <col min="9" max="9" width="13.7109375" style="1" customWidth="1"/>
    <col min="10" max="10" width="3.7109375" style="1" customWidth="1"/>
    <col min="11" max="11" width="3.7109375" style="36" customWidth="1"/>
    <col min="12" max="12" width="3.7109375" style="2" customWidth="1"/>
    <col min="13" max="16384" width="9.140625" style="2"/>
  </cols>
  <sheetData>
    <row r="1" spans="1:13" ht="16.5" thickBot="1" x14ac:dyDescent="0.3">
      <c r="A1" s="53"/>
      <c r="B1" s="54"/>
      <c r="C1" s="54"/>
      <c r="D1" s="54"/>
      <c r="E1" s="54"/>
      <c r="F1" s="54"/>
      <c r="G1" s="54"/>
      <c r="H1" s="54"/>
      <c r="I1" s="54"/>
      <c r="J1" s="71"/>
      <c r="K1" s="55"/>
    </row>
    <row r="2" spans="1:13" s="4" customFormat="1" ht="24.95" customHeight="1" x14ac:dyDescent="0.3">
      <c r="A2" s="56"/>
      <c r="B2" s="32"/>
      <c r="C2" s="3" t="s">
        <v>168</v>
      </c>
      <c r="D2" s="3"/>
      <c r="E2" s="3"/>
      <c r="F2" s="3"/>
      <c r="G2" s="3"/>
      <c r="H2" s="3"/>
      <c r="I2" s="3"/>
      <c r="J2" s="33"/>
      <c r="K2" s="66"/>
    </row>
    <row r="3" spans="1:13" s="30" customFormat="1" ht="14.25" customHeight="1" x14ac:dyDescent="0.3">
      <c r="A3" s="56"/>
      <c r="B3" s="93"/>
      <c r="C3" s="94"/>
      <c r="D3" s="95"/>
      <c r="E3" s="95"/>
      <c r="F3" s="95"/>
      <c r="G3" s="97" t="s">
        <v>175</v>
      </c>
      <c r="H3" s="95"/>
      <c r="I3" s="95"/>
      <c r="J3" s="96"/>
      <c r="K3" s="66"/>
    </row>
    <row r="4" spans="1:13" s="4" customFormat="1" ht="24.95" customHeight="1" thickBot="1" x14ac:dyDescent="0.35">
      <c r="A4" s="56"/>
      <c r="B4" s="34"/>
      <c r="C4" s="5"/>
      <c r="D4" s="166" t="s">
        <v>73</v>
      </c>
      <c r="E4" s="166"/>
      <c r="F4" s="166"/>
      <c r="G4" s="166"/>
      <c r="H4" s="166"/>
      <c r="I4" s="166"/>
      <c r="J4" s="62"/>
      <c r="K4" s="66"/>
    </row>
    <row r="5" spans="1:13" x14ac:dyDescent="0.25">
      <c r="A5" s="57"/>
      <c r="B5" s="98"/>
      <c r="C5" s="99"/>
      <c r="D5" s="99"/>
      <c r="E5" s="99"/>
      <c r="F5" s="99"/>
      <c r="G5" s="99"/>
      <c r="H5" s="99"/>
      <c r="I5" s="99"/>
      <c r="J5" s="100"/>
      <c r="K5" s="67"/>
    </row>
    <row r="6" spans="1:13" x14ac:dyDescent="0.25">
      <c r="A6" s="57"/>
      <c r="B6" s="98"/>
      <c r="C6" s="123" t="s">
        <v>104</v>
      </c>
      <c r="D6" s="104"/>
      <c r="E6" s="104"/>
      <c r="F6" s="104"/>
      <c r="G6" s="104"/>
      <c r="H6" s="104"/>
      <c r="I6" s="130"/>
      <c r="J6" s="100"/>
      <c r="K6" s="67"/>
      <c r="M6" s="7" t="s">
        <v>1</v>
      </c>
    </row>
    <row r="7" spans="1:13" x14ac:dyDescent="0.25">
      <c r="A7" s="57"/>
      <c r="B7" s="98"/>
      <c r="C7" s="112" t="s">
        <v>110</v>
      </c>
      <c r="D7" s="107"/>
      <c r="E7" s="108"/>
      <c r="F7" s="108"/>
      <c r="G7" s="108"/>
      <c r="H7" s="108"/>
      <c r="I7" s="131"/>
      <c r="J7" s="100"/>
      <c r="K7" s="67"/>
      <c r="M7" s="2" t="s">
        <v>4</v>
      </c>
    </row>
    <row r="8" spans="1:13" x14ac:dyDescent="0.25">
      <c r="A8" s="57"/>
      <c r="B8" s="98"/>
      <c r="C8" s="99"/>
      <c r="D8" s="99"/>
      <c r="E8" s="102"/>
      <c r="F8" s="102"/>
      <c r="G8" s="102"/>
      <c r="H8" s="102"/>
      <c r="I8" s="99"/>
      <c r="J8" s="100"/>
      <c r="K8" s="67"/>
    </row>
    <row r="9" spans="1:13" x14ac:dyDescent="0.25">
      <c r="A9" s="57"/>
      <c r="B9" s="98"/>
      <c r="C9" s="102" t="s">
        <v>2</v>
      </c>
      <c r="D9" s="99"/>
      <c r="E9" s="102"/>
      <c r="F9" s="102"/>
      <c r="G9" s="102"/>
      <c r="H9" s="102"/>
      <c r="I9" s="99"/>
      <c r="J9" s="100"/>
      <c r="K9" s="67"/>
    </row>
    <row r="10" spans="1:13" x14ac:dyDescent="0.25">
      <c r="A10" s="57"/>
      <c r="B10" s="98"/>
      <c r="C10" s="110"/>
      <c r="D10" s="105" t="s">
        <v>102</v>
      </c>
      <c r="E10" s="105"/>
      <c r="F10" s="105"/>
      <c r="G10" s="105"/>
      <c r="H10" s="105"/>
      <c r="I10" s="130"/>
      <c r="J10" s="100"/>
      <c r="K10" s="67"/>
    </row>
    <row r="11" spans="1:13" x14ac:dyDescent="0.25">
      <c r="A11" s="57"/>
      <c r="B11" s="98"/>
      <c r="C11" s="111"/>
      <c r="D11" s="99"/>
      <c r="E11" s="99" t="s">
        <v>101</v>
      </c>
      <c r="F11" s="102"/>
      <c r="G11" s="102"/>
      <c r="H11" s="102"/>
      <c r="I11" s="51">
        <v>25</v>
      </c>
      <c r="J11" s="100"/>
      <c r="K11" s="67"/>
      <c r="M11" s="2" t="s">
        <v>88</v>
      </c>
    </row>
    <row r="12" spans="1:13" x14ac:dyDescent="0.25">
      <c r="A12" s="57"/>
      <c r="B12" s="98"/>
      <c r="C12" s="111"/>
      <c r="D12" s="99"/>
      <c r="E12" s="99" t="s">
        <v>5</v>
      </c>
      <c r="F12" s="102"/>
      <c r="G12" s="102"/>
      <c r="H12" s="102"/>
      <c r="I12" s="64">
        <v>0.08</v>
      </c>
      <c r="J12" s="100"/>
      <c r="K12" s="67"/>
      <c r="M12" s="2" t="s">
        <v>113</v>
      </c>
    </row>
    <row r="13" spans="1:13" x14ac:dyDescent="0.25">
      <c r="A13" s="57"/>
      <c r="B13" s="98"/>
      <c r="C13" s="111"/>
      <c r="D13" s="99"/>
      <c r="E13" s="99" t="s">
        <v>6</v>
      </c>
      <c r="F13" s="102"/>
      <c r="G13" s="102"/>
      <c r="H13" s="102"/>
      <c r="I13" s="64">
        <v>2.5000000000000001E-2</v>
      </c>
      <c r="J13" s="100"/>
      <c r="K13" s="67"/>
      <c r="M13" s="2" t="s">
        <v>114</v>
      </c>
    </row>
    <row r="14" spans="1:13" x14ac:dyDescent="0.25">
      <c r="A14" s="57"/>
      <c r="B14" s="98"/>
      <c r="C14" s="112"/>
      <c r="D14" s="107"/>
      <c r="E14" s="107" t="s">
        <v>138</v>
      </c>
      <c r="F14" s="107"/>
      <c r="G14" s="107"/>
      <c r="H14" s="107"/>
      <c r="I14" s="52"/>
      <c r="J14" s="100"/>
      <c r="K14" s="67"/>
      <c r="M14" s="2" t="s">
        <v>115</v>
      </c>
    </row>
    <row r="15" spans="1:13" x14ac:dyDescent="0.25">
      <c r="A15" s="57"/>
      <c r="B15" s="98"/>
      <c r="C15" s="99"/>
      <c r="D15" s="99"/>
      <c r="E15" s="99"/>
      <c r="F15" s="102"/>
      <c r="G15" s="102"/>
      <c r="H15" s="102"/>
      <c r="J15" s="100"/>
      <c r="K15" s="67"/>
    </row>
    <row r="16" spans="1:13" x14ac:dyDescent="0.25">
      <c r="A16" s="57"/>
      <c r="B16" s="98"/>
      <c r="C16" s="110"/>
      <c r="D16" s="105" t="s">
        <v>103</v>
      </c>
      <c r="E16" s="104"/>
      <c r="F16" s="105"/>
      <c r="G16" s="105"/>
      <c r="H16" s="105"/>
      <c r="I16" s="9"/>
      <c r="J16" s="100"/>
      <c r="K16" s="67"/>
    </row>
    <row r="17" spans="1:13" x14ac:dyDescent="0.25">
      <c r="A17" s="57"/>
      <c r="B17" s="98"/>
      <c r="C17" s="111"/>
      <c r="D17" s="99"/>
      <c r="E17" s="99" t="s">
        <v>7</v>
      </c>
      <c r="F17" s="102"/>
      <c r="G17" s="102"/>
      <c r="H17" s="102"/>
      <c r="I17" s="51">
        <v>30</v>
      </c>
      <c r="J17" s="100"/>
      <c r="K17" s="67"/>
      <c r="M17" s="2" t="s">
        <v>89</v>
      </c>
    </row>
    <row r="18" spans="1:13" x14ac:dyDescent="0.25">
      <c r="A18" s="57"/>
      <c r="B18" s="98"/>
      <c r="C18" s="111"/>
      <c r="D18" s="99"/>
      <c r="E18" s="99" t="s">
        <v>8</v>
      </c>
      <c r="F18" s="102"/>
      <c r="G18" s="102"/>
      <c r="H18" s="102"/>
      <c r="I18" s="64">
        <v>7.0000000000000007E-2</v>
      </c>
      <c r="J18" s="100"/>
      <c r="K18" s="67"/>
      <c r="M18" s="2" t="s">
        <v>116</v>
      </c>
    </row>
    <row r="19" spans="1:13" x14ac:dyDescent="0.25">
      <c r="A19" s="57"/>
      <c r="B19" s="98"/>
      <c r="C19" s="112"/>
      <c r="D19" s="107"/>
      <c r="E19" s="107" t="s">
        <v>9</v>
      </c>
      <c r="F19" s="108"/>
      <c r="G19" s="108"/>
      <c r="H19" s="108"/>
      <c r="I19" s="65">
        <v>0.03</v>
      </c>
      <c r="J19" s="100"/>
      <c r="K19" s="67"/>
      <c r="M19" s="2" t="s">
        <v>117</v>
      </c>
    </row>
    <row r="20" spans="1:13" x14ac:dyDescent="0.25">
      <c r="A20" s="57"/>
      <c r="B20" s="98"/>
      <c r="C20" s="99"/>
      <c r="D20" s="99"/>
      <c r="E20" s="99"/>
      <c r="F20" s="99"/>
      <c r="G20" s="99"/>
      <c r="H20" s="99"/>
      <c r="I20" s="99"/>
      <c r="J20" s="100"/>
      <c r="K20" s="67"/>
    </row>
    <row r="21" spans="1:13" x14ac:dyDescent="0.25">
      <c r="A21" s="57"/>
      <c r="B21" s="98"/>
      <c r="C21" s="102" t="s">
        <v>153</v>
      </c>
      <c r="D21" s="99"/>
      <c r="E21" s="99"/>
      <c r="F21" s="99"/>
      <c r="G21" s="99"/>
      <c r="H21" s="99"/>
      <c r="I21" s="99"/>
      <c r="J21" s="100"/>
      <c r="K21" s="67"/>
    </row>
    <row r="22" spans="1:13" x14ac:dyDescent="0.25">
      <c r="A22" s="57"/>
      <c r="B22" s="98"/>
      <c r="C22" s="99"/>
      <c r="D22" s="99" t="s">
        <v>10</v>
      </c>
      <c r="E22" s="99" t="s">
        <v>107</v>
      </c>
      <c r="F22" s="99"/>
      <c r="G22" s="99"/>
      <c r="H22" s="99"/>
      <c r="I22" s="39">
        <v>60000</v>
      </c>
      <c r="J22" s="100"/>
      <c r="K22" s="67"/>
      <c r="M22" s="2" t="s">
        <v>11</v>
      </c>
    </row>
    <row r="23" spans="1:13" x14ac:dyDescent="0.25">
      <c r="A23" s="57"/>
      <c r="B23" s="98"/>
      <c r="C23" s="99"/>
      <c r="D23" s="99" t="s">
        <v>12</v>
      </c>
      <c r="E23" s="99" t="s">
        <v>13</v>
      </c>
      <c r="F23" s="99"/>
      <c r="G23" s="99"/>
      <c r="H23" s="99"/>
      <c r="I23" s="38">
        <v>1</v>
      </c>
      <c r="J23" s="100"/>
      <c r="K23" s="67"/>
      <c r="M23" s="2" t="s">
        <v>118</v>
      </c>
    </row>
    <row r="24" spans="1:13" x14ac:dyDescent="0.25">
      <c r="A24" s="57"/>
      <c r="B24" s="98"/>
      <c r="C24" s="99"/>
      <c r="D24" s="99" t="s">
        <v>14</v>
      </c>
      <c r="E24" s="99" t="s">
        <v>108</v>
      </c>
      <c r="F24" s="99"/>
      <c r="G24" s="99"/>
      <c r="H24" s="99"/>
      <c r="I24" s="40">
        <f>I22*I23</f>
        <v>60000</v>
      </c>
      <c r="J24" s="113"/>
      <c r="K24" s="67"/>
      <c r="M24" s="2" t="s">
        <v>105</v>
      </c>
    </row>
    <row r="25" spans="1:13" x14ac:dyDescent="0.25">
      <c r="A25" s="57"/>
      <c r="B25" s="98"/>
      <c r="C25" s="99"/>
      <c r="D25" s="99" t="s">
        <v>15</v>
      </c>
      <c r="E25" s="99" t="s">
        <v>109</v>
      </c>
      <c r="F25" s="99"/>
      <c r="G25" s="99"/>
      <c r="H25" s="99"/>
      <c r="I25" s="41"/>
      <c r="J25" s="100"/>
      <c r="K25" s="67"/>
      <c r="M25" s="2" t="s">
        <v>16</v>
      </c>
    </row>
    <row r="26" spans="1:13" x14ac:dyDescent="0.25">
      <c r="A26" s="57"/>
      <c r="B26" s="98"/>
      <c r="C26" s="99"/>
      <c r="D26" s="99" t="s">
        <v>17</v>
      </c>
      <c r="E26" s="99" t="s">
        <v>106</v>
      </c>
      <c r="F26" s="99"/>
      <c r="G26" s="99"/>
      <c r="H26" s="99"/>
      <c r="I26" s="40">
        <f>I24+I25</f>
        <v>60000</v>
      </c>
      <c r="J26" s="100"/>
      <c r="K26" s="67"/>
    </row>
    <row r="27" spans="1:13" x14ac:dyDescent="0.25">
      <c r="A27" s="57"/>
      <c r="B27" s="98"/>
      <c r="C27" s="99"/>
      <c r="D27" s="99" t="s">
        <v>18</v>
      </c>
      <c r="E27" s="99" t="s">
        <v>119</v>
      </c>
      <c r="F27" s="99"/>
      <c r="G27" s="99"/>
      <c r="H27" s="99"/>
      <c r="I27" s="42">
        <f>I14</f>
        <v>0</v>
      </c>
      <c r="J27" s="100"/>
      <c r="K27" s="67"/>
    </row>
    <row r="28" spans="1:13" x14ac:dyDescent="0.25">
      <c r="A28" s="57"/>
      <c r="B28" s="98"/>
      <c r="C28" s="99"/>
      <c r="D28" s="99" t="s">
        <v>19</v>
      </c>
      <c r="E28" s="99" t="s">
        <v>20</v>
      </c>
      <c r="F28" s="99"/>
      <c r="G28" s="99"/>
      <c r="H28" s="99"/>
      <c r="I28" s="40">
        <f>I26/(1-I27)</f>
        <v>60000</v>
      </c>
      <c r="J28" s="100"/>
      <c r="K28" s="67"/>
      <c r="M28" s="2" t="s">
        <v>21</v>
      </c>
    </row>
    <row r="29" spans="1:13" x14ac:dyDescent="0.25">
      <c r="A29" s="57"/>
      <c r="B29" s="98"/>
      <c r="C29" s="99"/>
      <c r="D29" s="99" t="s">
        <v>22</v>
      </c>
      <c r="E29" s="99" t="s">
        <v>23</v>
      </c>
      <c r="F29" s="99"/>
      <c r="G29" s="99"/>
      <c r="H29" s="99"/>
      <c r="I29" s="43">
        <f>FV(I13,I11,,-I28)</f>
        <v>111236.6458993292</v>
      </c>
      <c r="J29" s="100"/>
      <c r="K29" s="67"/>
      <c r="M29" s="2" t="s">
        <v>24</v>
      </c>
    </row>
    <row r="30" spans="1:13" x14ac:dyDescent="0.25">
      <c r="A30" s="57"/>
      <c r="B30" s="98"/>
      <c r="C30" s="99"/>
      <c r="D30" s="99"/>
      <c r="E30" s="167" t="str">
        <f>"     The calculation is PV = "&amp;TEXT(I28,"$#,##0")&amp;", N = "&amp;I11&amp;", I = "&amp;TEXT(I13,"0.00%")&amp;" inflation, Solve for FV"</f>
        <v xml:space="preserve">     The calculation is PV = $60,000, N = 25, I = 2.50% inflation, Solve for FV</v>
      </c>
      <c r="F30" s="167"/>
      <c r="G30" s="167"/>
      <c r="H30" s="167"/>
      <c r="I30" s="167"/>
      <c r="J30" s="100"/>
      <c r="K30" s="67"/>
    </row>
    <row r="31" spans="1:13" x14ac:dyDescent="0.25">
      <c r="A31" s="57"/>
      <c r="B31" s="98"/>
      <c r="C31" s="99"/>
      <c r="D31" s="99"/>
      <c r="E31" s="99"/>
      <c r="F31" s="99"/>
      <c r="G31" s="99"/>
      <c r="H31" s="99"/>
      <c r="I31" s="99"/>
      <c r="J31" s="100"/>
      <c r="K31" s="67"/>
    </row>
    <row r="32" spans="1:13" x14ac:dyDescent="0.25">
      <c r="A32" s="57"/>
      <c r="B32" s="98"/>
      <c r="C32" s="102" t="s">
        <v>25</v>
      </c>
      <c r="D32" s="99"/>
      <c r="E32" s="99"/>
      <c r="F32" s="99"/>
      <c r="G32" s="99"/>
      <c r="H32" s="99"/>
      <c r="I32" s="99"/>
      <c r="J32" s="100"/>
      <c r="K32" s="67"/>
    </row>
    <row r="33" spans="1:13" x14ac:dyDescent="0.25">
      <c r="A33" s="57"/>
      <c r="B33" s="98"/>
      <c r="C33" s="99"/>
      <c r="D33" s="99" t="s">
        <v>10</v>
      </c>
      <c r="E33" s="99" t="s">
        <v>26</v>
      </c>
      <c r="F33" s="99"/>
      <c r="G33" s="99"/>
      <c r="H33" s="99"/>
      <c r="I33" s="39">
        <v>24300</v>
      </c>
      <c r="J33" s="100"/>
      <c r="K33" s="67"/>
      <c r="M33" s="2" t="s">
        <v>171</v>
      </c>
    </row>
    <row r="34" spans="1:13" x14ac:dyDescent="0.25">
      <c r="A34" s="57"/>
      <c r="B34" s="98"/>
      <c r="C34" s="99"/>
      <c r="D34" s="99" t="s">
        <v>12</v>
      </c>
      <c r="E34" s="99" t="s">
        <v>27</v>
      </c>
      <c r="F34" s="99"/>
      <c r="G34" s="99"/>
      <c r="H34" s="99"/>
      <c r="I34" s="41"/>
      <c r="J34" s="100"/>
      <c r="K34" s="67"/>
      <c r="M34" s="2" t="s">
        <v>120</v>
      </c>
    </row>
    <row r="35" spans="1:13" x14ac:dyDescent="0.25">
      <c r="A35" s="57"/>
      <c r="B35" s="98"/>
      <c r="C35" s="99"/>
      <c r="D35" s="99" t="s">
        <v>14</v>
      </c>
      <c r="E35" s="99" t="s">
        <v>28</v>
      </c>
      <c r="F35" s="99"/>
      <c r="G35" s="99"/>
      <c r="H35" s="99"/>
      <c r="I35" s="40">
        <f>SUM(I33:I34)</f>
        <v>24300</v>
      </c>
      <c r="J35" s="100"/>
      <c r="K35" s="67"/>
    </row>
    <row r="36" spans="1:13" x14ac:dyDescent="0.25">
      <c r="A36" s="57"/>
      <c r="B36" s="98"/>
      <c r="C36" s="99"/>
      <c r="D36" s="99" t="s">
        <v>15</v>
      </c>
      <c r="E36" s="99" t="s">
        <v>29</v>
      </c>
      <c r="F36" s="99"/>
      <c r="G36" s="99"/>
      <c r="H36" s="99"/>
      <c r="I36" s="37">
        <f>I13</f>
        <v>2.5000000000000001E-2</v>
      </c>
      <c r="J36" s="100"/>
      <c r="K36" s="67"/>
      <c r="M36" s="2" t="s">
        <v>121</v>
      </c>
    </row>
    <row r="37" spans="1:13" x14ac:dyDescent="0.25">
      <c r="A37" s="57"/>
      <c r="B37" s="98"/>
      <c r="C37" s="99"/>
      <c r="D37" s="99" t="s">
        <v>17</v>
      </c>
      <c r="E37" s="99" t="s">
        <v>30</v>
      </c>
      <c r="F37" s="99"/>
      <c r="G37" s="99"/>
      <c r="H37" s="99"/>
      <c r="I37" s="40">
        <f>I11</f>
        <v>25</v>
      </c>
      <c r="J37" s="100"/>
      <c r="K37" s="67"/>
    </row>
    <row r="38" spans="1:13" x14ac:dyDescent="0.25">
      <c r="A38" s="57"/>
      <c r="B38" s="98"/>
      <c r="C38" s="99"/>
      <c r="D38" s="99" t="s">
        <v>18</v>
      </c>
      <c r="E38" s="99" t="s">
        <v>31</v>
      </c>
      <c r="F38" s="99"/>
      <c r="G38" s="99"/>
      <c r="H38" s="99"/>
      <c r="I38" s="44">
        <f>I35*(1+I36)^I37</f>
        <v>45050.841589228323</v>
      </c>
      <c r="J38" s="100"/>
      <c r="K38" s="67"/>
    </row>
    <row r="39" spans="1:13" x14ac:dyDescent="0.25">
      <c r="A39" s="57"/>
      <c r="B39" s="98"/>
      <c r="C39" s="99"/>
      <c r="D39" s="99"/>
      <c r="E39" s="99"/>
      <c r="F39" s="99"/>
      <c r="G39" s="99"/>
      <c r="H39" s="99"/>
      <c r="I39" s="99"/>
      <c r="J39" s="100"/>
      <c r="K39" s="67"/>
    </row>
    <row r="40" spans="1:13" s="7" customFormat="1" x14ac:dyDescent="0.25">
      <c r="A40" s="58"/>
      <c r="B40" s="101"/>
      <c r="C40" s="102" t="s">
        <v>32</v>
      </c>
      <c r="D40" s="102"/>
      <c r="E40" s="102"/>
      <c r="F40" s="102"/>
      <c r="G40" s="102"/>
      <c r="H40" s="102"/>
      <c r="I40" s="102"/>
      <c r="J40" s="114"/>
      <c r="K40" s="68"/>
    </row>
    <row r="41" spans="1:13" x14ac:dyDescent="0.25">
      <c r="A41" s="57"/>
      <c r="B41" s="98"/>
      <c r="C41" s="99"/>
      <c r="D41" s="99" t="s">
        <v>10</v>
      </c>
      <c r="E41" s="99" t="s">
        <v>33</v>
      </c>
      <c r="F41" s="99"/>
      <c r="G41" s="99"/>
      <c r="H41" s="99"/>
      <c r="I41" s="45">
        <f>I29</f>
        <v>111236.6458993292</v>
      </c>
      <c r="J41" s="100"/>
      <c r="K41" s="67"/>
      <c r="M41" s="2" t="s">
        <v>131</v>
      </c>
    </row>
    <row r="42" spans="1:13" x14ac:dyDescent="0.25">
      <c r="A42" s="57"/>
      <c r="B42" s="98"/>
      <c r="C42" s="99"/>
      <c r="D42" s="99" t="s">
        <v>12</v>
      </c>
      <c r="E42" s="99" t="s">
        <v>34</v>
      </c>
      <c r="F42" s="99"/>
      <c r="G42" s="99"/>
      <c r="H42" s="99"/>
      <c r="I42" s="46">
        <f>I38</f>
        <v>45050.841589228323</v>
      </c>
      <c r="J42" s="100"/>
      <c r="K42" s="67"/>
      <c r="M42" s="2" t="s">
        <v>122</v>
      </c>
    </row>
    <row r="43" spans="1:13" x14ac:dyDescent="0.25">
      <c r="A43" s="57"/>
      <c r="B43" s="98"/>
      <c r="C43" s="99"/>
      <c r="D43" s="99" t="s">
        <v>14</v>
      </c>
      <c r="E43" s="99" t="s">
        <v>35</v>
      </c>
      <c r="F43" s="99"/>
      <c r="G43" s="99"/>
      <c r="H43" s="99"/>
      <c r="I43" s="46">
        <f>I41-I42</f>
        <v>66185.804310100881</v>
      </c>
      <c r="J43" s="100"/>
      <c r="K43" s="67"/>
      <c r="M43" s="2" t="s">
        <v>123</v>
      </c>
    </row>
    <row r="44" spans="1:13" x14ac:dyDescent="0.25">
      <c r="A44" s="57"/>
      <c r="B44" s="98"/>
      <c r="C44" s="99"/>
      <c r="D44" s="99" t="s">
        <v>15</v>
      </c>
      <c r="E44" s="115" t="s">
        <v>36</v>
      </c>
      <c r="F44" s="126"/>
      <c r="G44" s="126"/>
      <c r="H44" s="126"/>
      <c r="I44" s="46">
        <f>I17</f>
        <v>30</v>
      </c>
      <c r="J44" s="100"/>
      <c r="K44" s="67"/>
    </row>
    <row r="45" spans="1:13" x14ac:dyDescent="0.25">
      <c r="A45" s="57"/>
      <c r="B45" s="98"/>
      <c r="C45" s="99"/>
      <c r="D45" s="99" t="s">
        <v>17</v>
      </c>
      <c r="E45" s="115" t="s">
        <v>37</v>
      </c>
      <c r="F45" s="126"/>
      <c r="G45" s="126"/>
      <c r="H45" s="126"/>
      <c r="I45" s="47">
        <f>I18</f>
        <v>7.0000000000000007E-2</v>
      </c>
      <c r="J45" s="100"/>
      <c r="K45" s="67"/>
    </row>
    <row r="46" spans="1:13" x14ac:dyDescent="0.25">
      <c r="A46" s="57"/>
      <c r="B46" s="98"/>
      <c r="C46" s="99"/>
      <c r="D46" s="99" t="s">
        <v>18</v>
      </c>
      <c r="E46" s="115" t="s">
        <v>38</v>
      </c>
      <c r="F46" s="126"/>
      <c r="G46" s="126"/>
      <c r="H46" s="126"/>
      <c r="I46" s="47">
        <f>I19</f>
        <v>0.03</v>
      </c>
      <c r="J46" s="100"/>
      <c r="K46" s="67"/>
    </row>
    <row r="47" spans="1:13" x14ac:dyDescent="0.25">
      <c r="A47" s="57"/>
      <c r="B47" s="98"/>
      <c r="C47" s="99"/>
      <c r="D47" s="99" t="s">
        <v>19</v>
      </c>
      <c r="E47" s="115" t="str">
        <f>"Inflation adjusted return.  It is (1+nom. ret.)/(1+inflation)-1, or (1+"&amp;I45&amp;")/(1+"&amp;I46&amp;")-1"</f>
        <v>Inflation adjusted return.  It is (1+nom. ret.)/(1+inflation)-1, or (1+0.07)/(1+0.03)-1</v>
      </c>
      <c r="F47" s="126"/>
      <c r="G47" s="126"/>
      <c r="H47" s="126"/>
      <c r="I47" s="47">
        <f>(1+I45)/(1+I46)-1</f>
        <v>3.8834951456310662E-2</v>
      </c>
      <c r="J47" s="100"/>
      <c r="K47" s="67"/>
    </row>
    <row r="48" spans="1:13" x14ac:dyDescent="0.25">
      <c r="A48" s="57"/>
      <c r="B48" s="98"/>
      <c r="C48" s="99"/>
      <c r="D48" s="99" t="s">
        <v>22</v>
      </c>
      <c r="E48" s="99" t="s">
        <v>68</v>
      </c>
      <c r="F48" s="99"/>
      <c r="G48" s="99"/>
      <c r="H48" s="99"/>
      <c r="I48" s="40">
        <f>PV(I47,I44,I43*-1,,1)</f>
        <v>1205933.73739066</v>
      </c>
      <c r="J48" s="100"/>
      <c r="K48" s="67"/>
      <c r="M48" s="2" t="s">
        <v>132</v>
      </c>
    </row>
    <row r="49" spans="1:13" x14ac:dyDescent="0.25">
      <c r="A49" s="57"/>
      <c r="B49" s="98"/>
      <c r="C49" s="99"/>
      <c r="D49" s="99"/>
      <c r="E49" s="167" t="str">
        <f>"     The calculation is PMT = "&amp;TEXT(I41,"$#,##0")&amp;", N = "&amp;I44&amp;", I = "&amp;TEXT(I47,"0.00%")&amp;", Type = 1 (begin mode), Solve for Present Value"</f>
        <v xml:space="preserve">     The calculation is PMT = $111,237, N = 30, I = 3.88%, Type = 1 (begin mode), Solve for Present Value</v>
      </c>
      <c r="F49" s="167"/>
      <c r="G49" s="167"/>
      <c r="H49" s="167"/>
      <c r="I49" s="167"/>
      <c r="J49" s="100"/>
      <c r="K49" s="67"/>
    </row>
    <row r="50" spans="1:13" x14ac:dyDescent="0.25">
      <c r="A50" s="57"/>
      <c r="B50" s="98"/>
      <c r="C50" s="99"/>
      <c r="D50" s="99"/>
      <c r="E50" s="127"/>
      <c r="F50" s="127"/>
      <c r="G50" s="127"/>
      <c r="H50" s="127"/>
      <c r="I50" s="127"/>
      <c r="J50" s="100"/>
      <c r="K50" s="67"/>
    </row>
    <row r="51" spans="1:13" s="7" customFormat="1" x14ac:dyDescent="0.25">
      <c r="A51" s="58"/>
      <c r="B51" s="101"/>
      <c r="C51" s="102" t="s">
        <v>40</v>
      </c>
      <c r="D51" s="102"/>
      <c r="E51" s="102"/>
      <c r="F51" s="102"/>
      <c r="G51" s="102"/>
      <c r="H51" s="102"/>
      <c r="I51" s="102"/>
      <c r="J51" s="114"/>
      <c r="K51" s="68"/>
    </row>
    <row r="52" spans="1:13" s="7" customFormat="1" x14ac:dyDescent="0.25">
      <c r="A52" s="58"/>
      <c r="B52" s="101"/>
      <c r="C52" s="102"/>
      <c r="D52" s="99" t="s">
        <v>10</v>
      </c>
      <c r="E52" s="99" t="s">
        <v>77</v>
      </c>
      <c r="F52" s="102"/>
      <c r="G52" s="102"/>
      <c r="H52" s="102"/>
      <c r="I52" s="41">
        <v>0</v>
      </c>
      <c r="J52" s="114"/>
      <c r="K52" s="68"/>
      <c r="M52" s="2" t="s">
        <v>75</v>
      </c>
    </row>
    <row r="53" spans="1:13" s="7" customFormat="1" x14ac:dyDescent="0.25">
      <c r="A53" s="58"/>
      <c r="B53" s="101"/>
      <c r="C53" s="102"/>
      <c r="D53" s="99" t="s">
        <v>12</v>
      </c>
      <c r="E53" s="99" t="s">
        <v>78</v>
      </c>
      <c r="F53" s="102"/>
      <c r="G53" s="102"/>
      <c r="H53" s="102"/>
      <c r="I53" s="41">
        <v>0</v>
      </c>
      <c r="J53" s="114"/>
      <c r="K53" s="68"/>
      <c r="M53" s="2" t="s">
        <v>76</v>
      </c>
    </row>
    <row r="54" spans="1:13" x14ac:dyDescent="0.25">
      <c r="A54" s="57"/>
      <c r="B54" s="98"/>
      <c r="C54" s="99"/>
      <c r="D54" s="99" t="s">
        <v>14</v>
      </c>
      <c r="E54" s="99" t="s">
        <v>74</v>
      </c>
      <c r="F54" s="99"/>
      <c r="G54" s="99"/>
      <c r="H54" s="99"/>
      <c r="I54" s="48">
        <f>I53+I52</f>
        <v>0</v>
      </c>
      <c r="J54" s="100"/>
      <c r="K54" s="67"/>
    </row>
    <row r="55" spans="1:13" x14ac:dyDescent="0.25">
      <c r="A55" s="57"/>
      <c r="B55" s="98"/>
      <c r="C55" s="99"/>
      <c r="D55" s="99" t="s">
        <v>15</v>
      </c>
      <c r="E55" s="99" t="s">
        <v>41</v>
      </c>
      <c r="F55" s="99"/>
      <c r="G55" s="99"/>
      <c r="H55" s="99"/>
      <c r="I55" s="40">
        <f>I11</f>
        <v>25</v>
      </c>
      <c r="J55" s="100"/>
      <c r="K55" s="67"/>
    </row>
    <row r="56" spans="1:13" x14ac:dyDescent="0.25">
      <c r="A56" s="57"/>
      <c r="B56" s="98"/>
      <c r="C56" s="99"/>
      <c r="D56" s="99" t="s">
        <v>17</v>
      </c>
      <c r="E56" s="99" t="s">
        <v>42</v>
      </c>
      <c r="F56" s="99"/>
      <c r="G56" s="99"/>
      <c r="H56" s="99"/>
      <c r="I56" s="47">
        <f>I12</f>
        <v>0.08</v>
      </c>
      <c r="J56" s="100"/>
      <c r="K56" s="67"/>
    </row>
    <row r="57" spans="1:13" x14ac:dyDescent="0.25">
      <c r="A57" s="57"/>
      <c r="B57" s="98"/>
      <c r="C57" s="99"/>
      <c r="D57" s="99" t="s">
        <v>18</v>
      </c>
      <c r="E57" s="99" t="s">
        <v>43</v>
      </c>
      <c r="F57" s="99"/>
      <c r="G57" s="99"/>
      <c r="H57" s="99"/>
      <c r="I57" s="47">
        <f>I13</f>
        <v>2.5000000000000001E-2</v>
      </c>
      <c r="J57" s="100"/>
      <c r="K57" s="67"/>
    </row>
    <row r="58" spans="1:13" x14ac:dyDescent="0.25">
      <c r="A58" s="57"/>
      <c r="B58" s="98"/>
      <c r="C58" s="99"/>
      <c r="D58" s="99" t="s">
        <v>19</v>
      </c>
      <c r="E58" s="99" t="s">
        <v>39</v>
      </c>
      <c r="F58" s="99"/>
      <c r="G58" s="99"/>
      <c r="H58" s="99"/>
      <c r="I58" s="47">
        <f>ROUND((1+I56)/(1+I57)-1,4)</f>
        <v>5.3699999999999998E-2</v>
      </c>
      <c r="J58" s="100"/>
      <c r="K58" s="67"/>
    </row>
    <row r="59" spans="1:13" x14ac:dyDescent="0.25">
      <c r="A59" s="57"/>
      <c r="B59" s="98"/>
      <c r="C59" s="99"/>
      <c r="D59" s="99" t="s">
        <v>22</v>
      </c>
      <c r="E59" s="99" t="s">
        <v>44</v>
      </c>
      <c r="F59" s="99"/>
      <c r="G59" s="99"/>
      <c r="H59" s="99"/>
      <c r="I59" s="43">
        <f>FV(I58,I55,,I54)*-1</f>
        <v>0</v>
      </c>
      <c r="J59" s="100"/>
      <c r="K59" s="67"/>
      <c r="M59" s="2" t="s">
        <v>45</v>
      </c>
    </row>
    <row r="60" spans="1:13" x14ac:dyDescent="0.25">
      <c r="A60" s="57"/>
      <c r="B60" s="98"/>
      <c r="C60" s="99"/>
      <c r="D60" s="99"/>
      <c r="E60" s="99"/>
      <c r="F60" s="99"/>
      <c r="G60" s="99"/>
      <c r="H60" s="99"/>
      <c r="I60" s="99"/>
      <c r="J60" s="100"/>
      <c r="K60" s="67"/>
    </row>
    <row r="61" spans="1:13" s="7" customFormat="1" x14ac:dyDescent="0.25">
      <c r="A61" s="58"/>
      <c r="B61" s="101"/>
      <c r="C61" s="102" t="s">
        <v>46</v>
      </c>
      <c r="D61" s="102"/>
      <c r="E61" s="102"/>
      <c r="F61" s="102"/>
      <c r="G61" s="102"/>
      <c r="H61" s="102"/>
      <c r="I61" s="102"/>
      <c r="J61" s="114"/>
      <c r="K61" s="68"/>
    </row>
    <row r="62" spans="1:13" x14ac:dyDescent="0.25">
      <c r="A62" s="57"/>
      <c r="B62" s="98"/>
      <c r="C62" s="99"/>
      <c r="D62" s="99" t="s">
        <v>10</v>
      </c>
      <c r="E62" s="99" t="s">
        <v>47</v>
      </c>
      <c r="F62" s="99"/>
      <c r="G62" s="99"/>
      <c r="H62" s="99"/>
      <c r="I62" s="39"/>
      <c r="J62" s="100"/>
      <c r="K62" s="67"/>
      <c r="M62" s="2" t="s">
        <v>48</v>
      </c>
    </row>
    <row r="63" spans="1:13" x14ac:dyDescent="0.25">
      <c r="A63" s="57"/>
      <c r="B63" s="98"/>
      <c r="C63" s="99"/>
      <c r="D63" s="99" t="s">
        <v>12</v>
      </c>
      <c r="E63" s="99" t="s">
        <v>49</v>
      </c>
      <c r="F63" s="99"/>
      <c r="G63" s="99"/>
      <c r="H63" s="99"/>
      <c r="I63" s="63">
        <v>0.01</v>
      </c>
      <c r="J63" s="100"/>
      <c r="K63" s="67"/>
      <c r="M63" s="2" t="s">
        <v>50</v>
      </c>
    </row>
    <row r="64" spans="1:13" x14ac:dyDescent="0.25">
      <c r="A64" s="57"/>
      <c r="B64" s="98"/>
      <c r="C64" s="99"/>
      <c r="D64" s="99" t="s">
        <v>14</v>
      </c>
      <c r="E64" s="99" t="s">
        <v>51</v>
      </c>
      <c r="F64" s="99"/>
      <c r="G64" s="99"/>
      <c r="H64" s="99"/>
      <c r="I64" s="49">
        <f>I11</f>
        <v>25</v>
      </c>
      <c r="J64" s="100"/>
      <c r="K64" s="67"/>
    </row>
    <row r="65" spans="1:14" x14ac:dyDescent="0.25">
      <c r="A65" s="57"/>
      <c r="B65" s="98"/>
      <c r="C65" s="99"/>
      <c r="D65" s="99" t="s">
        <v>15</v>
      </c>
      <c r="E65" s="99" t="s">
        <v>52</v>
      </c>
      <c r="F65" s="99"/>
      <c r="G65" s="99"/>
      <c r="H65" s="99"/>
      <c r="I65" s="40">
        <f>((1+I63)^(I64))*I62</f>
        <v>0</v>
      </c>
      <c r="J65" s="100"/>
      <c r="K65" s="67"/>
    </row>
    <row r="66" spans="1:14" x14ac:dyDescent="0.25">
      <c r="A66" s="57"/>
      <c r="B66" s="98"/>
      <c r="C66" s="99"/>
      <c r="D66" s="99" t="s">
        <v>17</v>
      </c>
      <c r="E66" s="99" t="s">
        <v>53</v>
      </c>
      <c r="F66" s="99"/>
      <c r="G66" s="99"/>
      <c r="H66" s="99"/>
      <c r="I66" s="41">
        <v>0</v>
      </c>
      <c r="J66" s="100"/>
      <c r="K66" s="67"/>
      <c r="M66" s="2" t="s">
        <v>54</v>
      </c>
    </row>
    <row r="67" spans="1:14" x14ac:dyDescent="0.25">
      <c r="A67" s="57"/>
      <c r="B67" s="98"/>
      <c r="C67" s="99"/>
      <c r="D67" s="99" t="s">
        <v>18</v>
      </c>
      <c r="E67" s="99" t="s">
        <v>55</v>
      </c>
      <c r="F67" s="99"/>
      <c r="G67" s="99"/>
      <c r="H67" s="99"/>
      <c r="I67" s="41"/>
      <c r="J67" s="100"/>
      <c r="K67" s="67"/>
      <c r="M67" s="2" t="s">
        <v>56</v>
      </c>
    </row>
    <row r="68" spans="1:14" x14ac:dyDescent="0.25">
      <c r="A68" s="57"/>
      <c r="B68" s="98"/>
      <c r="C68" s="99"/>
      <c r="D68" s="99" t="s">
        <v>19</v>
      </c>
      <c r="E68" s="99" t="s">
        <v>57</v>
      </c>
      <c r="F68" s="99"/>
      <c r="G68" s="99"/>
      <c r="H68" s="99"/>
      <c r="I68" s="46">
        <f>I65+I66+I67</f>
        <v>0</v>
      </c>
      <c r="J68" s="100"/>
      <c r="K68" s="67"/>
      <c r="M68" s="2" t="s">
        <v>58</v>
      </c>
    </row>
    <row r="69" spans="1:14" x14ac:dyDescent="0.25">
      <c r="A69" s="57"/>
      <c r="B69" s="98"/>
      <c r="C69" s="99"/>
      <c r="D69" s="99"/>
      <c r="E69" s="99"/>
      <c r="F69" s="99"/>
      <c r="G69" s="99"/>
      <c r="H69" s="99"/>
      <c r="I69" s="99"/>
      <c r="J69" s="100"/>
      <c r="K69" s="67"/>
    </row>
    <row r="70" spans="1:14" s="7" customFormat="1" x14ac:dyDescent="0.25">
      <c r="A70" s="58"/>
      <c r="B70" s="101"/>
      <c r="C70" s="102" t="s">
        <v>59</v>
      </c>
      <c r="D70" s="102"/>
      <c r="E70" s="102"/>
      <c r="F70" s="102"/>
      <c r="G70" s="102"/>
      <c r="H70" s="102"/>
      <c r="I70" s="102"/>
      <c r="J70" s="114"/>
      <c r="K70" s="68"/>
    </row>
    <row r="71" spans="1:14" x14ac:dyDescent="0.25">
      <c r="A71" s="57"/>
      <c r="B71" s="98"/>
      <c r="C71" s="99"/>
      <c r="D71" s="99" t="s">
        <v>10</v>
      </c>
      <c r="E71" s="99" t="s">
        <v>69</v>
      </c>
      <c r="F71" s="99"/>
      <c r="G71" s="99"/>
      <c r="H71" s="99"/>
      <c r="I71" s="46">
        <f>I48</f>
        <v>1205933.73739066</v>
      </c>
      <c r="J71" s="100"/>
      <c r="K71" s="67"/>
    </row>
    <row r="72" spans="1:14" x14ac:dyDescent="0.25">
      <c r="A72" s="57"/>
      <c r="B72" s="98"/>
      <c r="C72" s="99"/>
      <c r="D72" s="99" t="s">
        <v>12</v>
      </c>
      <c r="E72" s="99" t="s">
        <v>79</v>
      </c>
      <c r="F72" s="99"/>
      <c r="G72" s="99"/>
      <c r="H72" s="99"/>
      <c r="I72" s="40">
        <f>I59</f>
        <v>0</v>
      </c>
      <c r="J72" s="100"/>
      <c r="K72" s="67"/>
    </row>
    <row r="73" spans="1:14" x14ac:dyDescent="0.25">
      <c r="A73" s="57"/>
      <c r="B73" s="98"/>
      <c r="C73" s="99"/>
      <c r="D73" s="99" t="s">
        <v>14</v>
      </c>
      <c r="E73" s="99" t="s">
        <v>80</v>
      </c>
      <c r="F73" s="99"/>
      <c r="G73" s="99"/>
      <c r="H73" s="99"/>
      <c r="I73" s="46">
        <f>I68</f>
        <v>0</v>
      </c>
      <c r="J73" s="100"/>
      <c r="K73" s="67"/>
    </row>
    <row r="74" spans="1:14" x14ac:dyDescent="0.25">
      <c r="A74" s="57"/>
      <c r="B74" s="98"/>
      <c r="C74" s="99"/>
      <c r="D74" s="99" t="s">
        <v>15</v>
      </c>
      <c r="E74" s="99" t="s">
        <v>70</v>
      </c>
      <c r="F74" s="99"/>
      <c r="G74" s="99"/>
      <c r="H74" s="99"/>
      <c r="I74" s="40">
        <f>I71-I72-I73</f>
        <v>1205933.73739066</v>
      </c>
      <c r="J74" s="100"/>
      <c r="K74" s="67"/>
    </row>
    <row r="75" spans="1:14" x14ac:dyDescent="0.25">
      <c r="A75" s="57"/>
      <c r="B75" s="98"/>
      <c r="C75" s="99"/>
      <c r="D75" s="99" t="s">
        <v>17</v>
      </c>
      <c r="E75" s="99" t="s">
        <v>81</v>
      </c>
      <c r="F75" s="99"/>
      <c r="G75" s="99"/>
      <c r="H75" s="99"/>
      <c r="I75" s="46">
        <f>I11</f>
        <v>25</v>
      </c>
      <c r="J75" s="100"/>
      <c r="K75" s="67"/>
    </row>
    <row r="76" spans="1:14" x14ac:dyDescent="0.25">
      <c r="A76" s="57"/>
      <c r="B76" s="98"/>
      <c r="C76" s="99"/>
      <c r="D76" s="99" t="s">
        <v>18</v>
      </c>
      <c r="E76" s="99" t="s">
        <v>82</v>
      </c>
      <c r="F76" s="99"/>
      <c r="G76" s="99"/>
      <c r="H76" s="99"/>
      <c r="I76" s="47">
        <f>I12</f>
        <v>0.08</v>
      </c>
      <c r="J76" s="100"/>
      <c r="K76" s="67"/>
    </row>
    <row r="77" spans="1:14" x14ac:dyDescent="0.25">
      <c r="A77" s="57"/>
      <c r="B77" s="98"/>
      <c r="C77" s="99"/>
      <c r="D77" s="99" t="s">
        <v>19</v>
      </c>
      <c r="E77" s="99" t="s">
        <v>71</v>
      </c>
      <c r="F77" s="99"/>
      <c r="G77" s="99"/>
      <c r="H77" s="99"/>
      <c r="I77" s="50">
        <f>PMT(I76/12,I75*12,,-I71)</f>
        <v>1268.0339308010834</v>
      </c>
      <c r="J77" s="100"/>
      <c r="K77" s="67"/>
      <c r="M77" s="2" t="s">
        <v>173</v>
      </c>
      <c r="N77" s="8"/>
    </row>
    <row r="78" spans="1:14" x14ac:dyDescent="0.25">
      <c r="A78" s="57"/>
      <c r="B78" s="98"/>
      <c r="C78" s="99"/>
      <c r="D78" s="99"/>
      <c r="E78" s="167" t="str">
        <f>"     The calculation is FV = "&amp;TEXT($I$74,"$#,##0")&amp;", N = "&amp;$I$75&amp;"*12, I = "&amp;TEXT($I$76,"0.00%")&amp;"/12, Solve for Payment"</f>
        <v xml:space="preserve">     The calculation is FV = $1,205,934, N = 25*12, I = 8.00%/12, Solve for Payment</v>
      </c>
      <c r="F78" s="167"/>
      <c r="G78" s="167"/>
      <c r="H78" s="167"/>
      <c r="I78" s="167"/>
      <c r="J78" s="100"/>
      <c r="K78" s="67"/>
    </row>
    <row r="79" spans="1:14" x14ac:dyDescent="0.25">
      <c r="A79" s="57"/>
      <c r="B79" s="98"/>
      <c r="C79" s="99"/>
      <c r="D79" s="99" t="s">
        <v>22</v>
      </c>
      <c r="E79" s="99" t="s">
        <v>72</v>
      </c>
      <c r="F79" s="99"/>
      <c r="G79" s="99"/>
      <c r="H79" s="99"/>
      <c r="I79" s="50">
        <f>PMT(I76,I75,,-I74)</f>
        <v>16495.701145080999</v>
      </c>
      <c r="J79" s="100"/>
      <c r="K79" s="67"/>
      <c r="M79" s="2" t="s">
        <v>172</v>
      </c>
    </row>
    <row r="80" spans="1:14" x14ac:dyDescent="0.25">
      <c r="A80" s="57"/>
      <c r="B80" s="98"/>
      <c r="C80" s="99"/>
      <c r="D80" s="99"/>
      <c r="E80" s="167" t="str">
        <f>"     The calculation is FV = "&amp;TEXT($I$74,"$#,##0")&amp;", N = "&amp;$I$75&amp;", I = "&amp;TEXT($I$76,"0.00%")&amp;", Solve for Payment"</f>
        <v xml:space="preserve">     The calculation is FV = $1,205,934, N = 25, I = 8.00%, Solve for Payment</v>
      </c>
      <c r="F80" s="167"/>
      <c r="G80" s="167"/>
      <c r="H80" s="167"/>
      <c r="I80" s="167"/>
      <c r="J80" s="100"/>
      <c r="K80" s="67"/>
    </row>
    <row r="81" spans="1:11" x14ac:dyDescent="0.25">
      <c r="A81" s="57"/>
      <c r="B81" s="98"/>
      <c r="C81" s="99"/>
      <c r="D81" s="99"/>
      <c r="E81" s="127"/>
      <c r="F81" s="127"/>
      <c r="G81" s="127"/>
      <c r="H81" s="127"/>
      <c r="I81" s="127"/>
      <c r="J81" s="100"/>
      <c r="K81" s="67"/>
    </row>
    <row r="82" spans="1:11" s="7" customFormat="1" x14ac:dyDescent="0.25">
      <c r="A82" s="58"/>
      <c r="B82" s="101"/>
      <c r="C82" s="102" t="s">
        <v>60</v>
      </c>
      <c r="D82" s="102"/>
      <c r="E82" s="102"/>
      <c r="F82" s="102"/>
      <c r="G82" s="102"/>
      <c r="H82" s="102"/>
      <c r="I82" s="102"/>
      <c r="J82" s="114"/>
      <c r="K82" s="68"/>
    </row>
    <row r="83" spans="1:11" x14ac:dyDescent="0.25">
      <c r="A83" s="57"/>
      <c r="B83" s="98"/>
      <c r="C83" s="99"/>
      <c r="D83" s="99"/>
      <c r="E83" s="99"/>
      <c r="F83" s="99"/>
      <c r="G83" s="99"/>
      <c r="H83" s="99"/>
      <c r="I83" s="99"/>
      <c r="J83" s="100"/>
      <c r="K83" s="67"/>
    </row>
    <row r="84" spans="1:11" ht="16.5" thickBot="1" x14ac:dyDescent="0.3">
      <c r="A84" s="57"/>
      <c r="B84" s="124"/>
      <c r="C84" s="125"/>
      <c r="D84" s="125"/>
      <c r="E84" s="128" t="s">
        <v>61</v>
      </c>
      <c r="F84" s="125"/>
      <c r="G84" s="125"/>
      <c r="H84" s="125"/>
      <c r="I84" s="125"/>
      <c r="J84" s="129"/>
      <c r="K84" s="67"/>
    </row>
    <row r="85" spans="1:11" ht="16.5" thickBot="1" x14ac:dyDescent="0.3">
      <c r="A85" s="59"/>
      <c r="B85" s="60"/>
      <c r="C85" s="60"/>
      <c r="D85" s="60"/>
      <c r="E85" s="60"/>
      <c r="F85" s="60"/>
      <c r="G85" s="60"/>
      <c r="H85" s="60"/>
      <c r="I85" s="60"/>
      <c r="J85" s="71"/>
      <c r="K85" s="61"/>
    </row>
  </sheetData>
  <mergeCells count="5">
    <mergeCell ref="D4:I4"/>
    <mergeCell ref="E30:I30"/>
    <mergeCell ref="E49:I49"/>
    <mergeCell ref="E80:I80"/>
    <mergeCell ref="E78:I78"/>
  </mergeCells>
  <phoneticPr fontId="0" type="noConversion"/>
  <pageMargins left="0.5" right="0.18" top="0.71" bottom="0.75" header="0.5" footer="0.5"/>
  <pageSetup scale="80" orientation="portrait" horizontalDpi="300" verticalDpi="300" r:id="rId1"/>
  <headerFooter alignWithMargins="0">
    <oddFooter>&amp;C&amp;"Times New Roman,Regular"&amp;11 - Retirement Planning Worksheet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Introduction</vt:lpstr>
      <vt:lpstr>Needs - Before Tax (Fin200)</vt:lpstr>
      <vt:lpstr>Needs - After Tax (Fin418)</vt:lpstr>
      <vt:lpstr>'Needs - After Tax (Fin418)'!Print_Area</vt:lpstr>
      <vt:lpstr>'Needs - Before Tax (Fin200)'!Print_Area</vt:lpstr>
      <vt:lpstr>'Needs - After Tax (Fin418)'!Print_Titles</vt:lpstr>
      <vt:lpstr>'Needs - Before Tax (Fin200)'!Print_Titles</vt:lpstr>
    </vt:vector>
  </TitlesOfParts>
  <Company>BYU - Marriott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L Sudweeks</dc:creator>
  <cp:lastModifiedBy>Bryan Sudweeks</cp:lastModifiedBy>
  <cp:lastPrinted>2019-03-28T18:49:54Z</cp:lastPrinted>
  <dcterms:created xsi:type="dcterms:W3CDTF">2005-10-31T17:00:08Z</dcterms:created>
  <dcterms:modified xsi:type="dcterms:W3CDTF">2019-03-28T18:50:04Z</dcterms:modified>
</cp:coreProperties>
</file>